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ablo Garza\Budgets\Budget FY2023-2024\Final Book\"/>
    </mc:Choice>
  </mc:AlternateContent>
  <bookViews>
    <workbookView xWindow="-28920" yWindow="-120" windowWidth="29040" windowHeight="15840" tabRatio="904" firstSheet="1" activeTab="1"/>
  </bookViews>
  <sheets>
    <sheet name="Cty Off" sheetId="75" state="hidden" r:id="rId1"/>
    <sheet name="GFBUDGET " sheetId="57" r:id="rId2"/>
    <sheet name="W&amp;S BUDGET" sheetId="63" r:id="rId3"/>
    <sheet name="CDC" sheetId="60" r:id="rId4"/>
    <sheet name="DEBT SERVICE" sheetId="58" r:id="rId5"/>
    <sheet name="SENIOR CITIZENS" sheetId="76" r:id="rId6"/>
    <sheet name="TIRZ" sheetId="88" r:id="rId7"/>
    <sheet name="CIty Website" sheetId="93" state="hidden" r:id="rId8"/>
    <sheet name="SALARIES 2017" sheetId="89" state="hidden" r:id="rId9"/>
  </sheets>
  <definedNames>
    <definedName name="_xlnm.Print_Area" localSheetId="3">CDC!$A$1:$O$55</definedName>
    <definedName name="_xlnm.Print_Area" localSheetId="0">'Cty Off'!$A$1:$F$43</definedName>
    <definedName name="_xlnm.Print_Area" localSheetId="4">'DEBT SERVICE'!$A$1:$O$48</definedName>
    <definedName name="_xlnm.Print_Area" localSheetId="1">'GFBUDGET '!$A$1:$X$596</definedName>
    <definedName name="_xlnm.Print_Area" localSheetId="8">'SALARIES 2017'!$D$1:$AA$169</definedName>
    <definedName name="_xlnm.Print_Area" localSheetId="5">'SENIOR CITIZENS'!$A$1:$Q$43</definedName>
    <definedName name="_xlnm.Print_Area" localSheetId="6">TIRZ!$A$1:$O$30</definedName>
    <definedName name="_xlnm.Print_Area" localSheetId="2">'W&amp;S BUDGET'!$A$1:$AA$289</definedName>
    <definedName name="_xlnm.Print_Titles" localSheetId="3">CDC!$1:$9</definedName>
    <definedName name="_xlnm.Print_Titles" localSheetId="1">'GFBUDGET '!$1:$6</definedName>
    <definedName name="_xlnm.Print_Titles" localSheetId="8">'SALARIES 2017'!$89:$94</definedName>
    <definedName name="_xlnm.Print_Titles" localSheetId="5">'SENIOR CITIZENS'!$1:$9</definedName>
    <definedName name="_xlnm.Print_Titles" localSheetId="2">'W&amp;S BUDGET'!$1:$6</definedName>
  </definedNames>
  <calcPr calcId="181029"/>
</workbook>
</file>

<file path=xl/calcChain.xml><?xml version="1.0" encoding="utf-8"?>
<calcChain xmlns="http://schemas.openxmlformats.org/spreadsheetml/2006/main">
  <c r="K28" i="93" l="1"/>
  <c r="J27" i="93"/>
  <c r="K27" i="93" s="1"/>
  <c r="J23" i="93"/>
  <c r="K22" i="93"/>
  <c r="K21" i="93"/>
  <c r="J17" i="93"/>
  <c r="K16" i="93"/>
  <c r="K15" i="93"/>
  <c r="K17" i="93" s="1"/>
  <c r="L15" i="93" s="1"/>
  <c r="L17" i="93" s="1"/>
  <c r="J11" i="93"/>
  <c r="K10" i="93"/>
  <c r="K9" i="93"/>
  <c r="J5" i="93"/>
  <c r="K4" i="93"/>
  <c r="K3" i="93"/>
  <c r="L16" i="93" l="1"/>
  <c r="L9" i="93"/>
  <c r="L11" i="93" s="1"/>
  <c r="L21" i="93"/>
  <c r="L23" i="93" s="1"/>
  <c r="L22" i="93"/>
  <c r="K11" i="93"/>
  <c r="K23" i="93"/>
  <c r="K29" i="93"/>
  <c r="L28" i="93" s="1"/>
  <c r="L4" i="93"/>
  <c r="J29" i="93"/>
  <c r="K5" i="93"/>
  <c r="L3" i="93" s="1"/>
  <c r="L5" i="93" s="1"/>
  <c r="L10" i="93"/>
  <c r="U176" i="57"/>
  <c r="L27" i="93" l="1"/>
  <c r="L29" i="93" s="1"/>
  <c r="U517" i="57" l="1"/>
  <c r="U516" i="57"/>
  <c r="S100" i="57" l="1"/>
  <c r="V264" i="63" l="1"/>
  <c r="U367" i="57" l="1"/>
  <c r="S367" i="57"/>
  <c r="Q367" i="57"/>
  <c r="P367" i="57"/>
  <c r="Y26" i="63" l="1"/>
  <c r="U424" i="57" l="1"/>
  <c r="S424" i="57"/>
  <c r="W423" i="57"/>
  <c r="Q424" i="57"/>
  <c r="P424" i="57"/>
  <c r="U577" i="57" l="1"/>
  <c r="Z198" i="63" l="1"/>
  <c r="AA198" i="63"/>
  <c r="Z121" i="63"/>
  <c r="AA121" i="63"/>
  <c r="Z116" i="63"/>
  <c r="U473" i="57" l="1"/>
  <c r="W398" i="57" l="1"/>
  <c r="Q37" i="57" l="1"/>
  <c r="P59" i="57" l="1"/>
  <c r="J13" i="60" l="1"/>
  <c r="K13" i="60"/>
  <c r="M13" i="60"/>
  <c r="N13" i="60"/>
  <c r="Z96" i="63"/>
  <c r="AA96" i="63"/>
  <c r="Z95" i="63"/>
  <c r="AA95" i="63"/>
  <c r="Z87" i="63"/>
  <c r="AA87" i="63"/>
  <c r="V533" i="57"/>
  <c r="N51" i="60" l="1"/>
  <c r="M51" i="60"/>
  <c r="K51" i="60"/>
  <c r="J51" i="60"/>
  <c r="Y276" i="63"/>
  <c r="V276" i="63"/>
  <c r="T276" i="63"/>
  <c r="T271" i="63"/>
  <c r="V271" i="63"/>
  <c r="Y271" i="63"/>
  <c r="R251" i="63"/>
  <c r="T251" i="63"/>
  <c r="V251" i="63"/>
  <c r="Y251" i="63"/>
  <c r="Y241" i="63"/>
  <c r="V241" i="63"/>
  <c r="T241" i="63"/>
  <c r="R241" i="63"/>
  <c r="R219" i="63"/>
  <c r="T219" i="63"/>
  <c r="Y199" i="63"/>
  <c r="V199" i="63"/>
  <c r="T199" i="63"/>
  <c r="R199" i="63"/>
  <c r="R187" i="63"/>
  <c r="T187" i="63"/>
  <c r="V187" i="63"/>
  <c r="Y187" i="63"/>
  <c r="Y176" i="63"/>
  <c r="V176" i="63"/>
  <c r="T176" i="63"/>
  <c r="R176" i="63"/>
  <c r="Y158" i="63"/>
  <c r="V158" i="63"/>
  <c r="T158" i="63"/>
  <c r="R158" i="63"/>
  <c r="R149" i="63"/>
  <c r="T149" i="63"/>
  <c r="Y143" i="63"/>
  <c r="T143" i="63"/>
  <c r="R143" i="63"/>
  <c r="R123" i="63"/>
  <c r="T123" i="63"/>
  <c r="V123" i="63"/>
  <c r="Y123" i="63"/>
  <c r="Y109" i="63"/>
  <c r="V109" i="63"/>
  <c r="T109" i="63"/>
  <c r="R109" i="63"/>
  <c r="R97" i="63"/>
  <c r="T97" i="63"/>
  <c r="V97" i="63"/>
  <c r="Y97" i="63"/>
  <c r="R72" i="63"/>
  <c r="T72" i="63"/>
  <c r="V72" i="63"/>
  <c r="Y72" i="63"/>
  <c r="R161" i="63" l="1"/>
  <c r="T161" i="63"/>
  <c r="O49" i="60" l="1"/>
  <c r="O48" i="60"/>
  <c r="O47" i="60"/>
  <c r="O46" i="60"/>
  <c r="W75" i="57" l="1"/>
  <c r="V75" i="57"/>
  <c r="U76" i="57"/>
  <c r="S76" i="57"/>
  <c r="Q76" i="57"/>
  <c r="P76" i="57"/>
  <c r="V564" i="57" l="1"/>
  <c r="V565" i="57"/>
  <c r="V566" i="57"/>
  <c r="V567" i="57"/>
  <c r="V568" i="57"/>
  <c r="V569" i="57"/>
  <c r="V570" i="57"/>
  <c r="V571" i="57"/>
  <c r="V572" i="57"/>
  <c r="V573" i="57"/>
  <c r="V574" i="57"/>
  <c r="V575" i="57"/>
  <c r="V527" i="57"/>
  <c r="V528" i="57"/>
  <c r="V529" i="57"/>
  <c r="V530" i="57"/>
  <c r="V531" i="57"/>
  <c r="V532" i="57"/>
  <c r="V534" i="57"/>
  <c r="V535" i="57"/>
  <c r="V536" i="57"/>
  <c r="V538" i="57"/>
  <c r="V541" i="57"/>
  <c r="V514" i="57"/>
  <c r="V515" i="57"/>
  <c r="V516" i="57"/>
  <c r="V517" i="57"/>
  <c r="V477" i="57"/>
  <c r="V478" i="57"/>
  <c r="V479" i="57"/>
  <c r="V480" i="57"/>
  <c r="V481" i="57"/>
  <c r="V482" i="57"/>
  <c r="V483" i="57"/>
  <c r="V484" i="57"/>
  <c r="V485" i="57"/>
  <c r="V486" i="57"/>
  <c r="V487" i="57"/>
  <c r="V489" i="57"/>
  <c r="V490" i="57"/>
  <c r="V491" i="57"/>
  <c r="V492" i="57"/>
  <c r="V493" i="57"/>
  <c r="V494" i="57"/>
  <c r="V495" i="57"/>
  <c r="V496" i="57"/>
  <c r="V498" i="57"/>
  <c r="V499" i="57"/>
  <c r="V501" i="57"/>
  <c r="V428" i="57"/>
  <c r="V429" i="57"/>
  <c r="V432" i="57"/>
  <c r="V433" i="57"/>
  <c r="V434" i="57"/>
  <c r="V435" i="57"/>
  <c r="V436" i="57"/>
  <c r="V437" i="57"/>
  <c r="V438" i="57"/>
  <c r="V439" i="57"/>
  <c r="V440" i="57"/>
  <c r="V441" i="57"/>
  <c r="V442" i="57"/>
  <c r="V443" i="57"/>
  <c r="V444" i="57"/>
  <c r="V445" i="57"/>
  <c r="V446" i="57"/>
  <c r="V447" i="57"/>
  <c r="V448" i="57"/>
  <c r="V449" i="57"/>
  <c r="V450" i="57"/>
  <c r="V451" i="57"/>
  <c r="V452" i="57"/>
  <c r="V453" i="57"/>
  <c r="V454" i="57"/>
  <c r="V455" i="57"/>
  <c r="V456" i="57"/>
  <c r="V457" i="57"/>
  <c r="V458" i="57"/>
  <c r="V459" i="57"/>
  <c r="V460" i="57"/>
  <c r="V461" i="57"/>
  <c r="V462" i="57"/>
  <c r="V463" i="57"/>
  <c r="V464" i="57"/>
  <c r="V465" i="57"/>
  <c r="V466" i="57"/>
  <c r="V467" i="57"/>
  <c r="V468" i="57"/>
  <c r="V470" i="57"/>
  <c r="V472" i="57"/>
  <c r="V427" i="57"/>
  <c r="V396" i="57"/>
  <c r="V397" i="57"/>
  <c r="V398" i="57"/>
  <c r="V399" i="57"/>
  <c r="V400" i="57"/>
  <c r="V401" i="57"/>
  <c r="V402" i="57"/>
  <c r="V403" i="57"/>
  <c r="V404" i="57"/>
  <c r="V405" i="57"/>
  <c r="V406" i="57"/>
  <c r="V407" i="57"/>
  <c r="V408" i="57"/>
  <c r="V409" i="57"/>
  <c r="V410" i="57"/>
  <c r="V411" i="57"/>
  <c r="V412" i="57"/>
  <c r="V413" i="57"/>
  <c r="V414" i="57"/>
  <c r="V415" i="57"/>
  <c r="V418" i="57"/>
  <c r="V419" i="57"/>
  <c r="V371" i="57"/>
  <c r="V373" i="57"/>
  <c r="V374" i="57"/>
  <c r="V375" i="57"/>
  <c r="V322" i="57"/>
  <c r="V323" i="57"/>
  <c r="V324" i="57"/>
  <c r="V325" i="57"/>
  <c r="V326" i="57"/>
  <c r="V328" i="57"/>
  <c r="V329" i="57"/>
  <c r="V241" i="57"/>
  <c r="V242" i="57"/>
  <c r="V243" i="57"/>
  <c r="V244" i="57"/>
  <c r="V245" i="57"/>
  <c r="V246" i="57"/>
  <c r="V247" i="57"/>
  <c r="V248" i="57"/>
  <c r="V249" i="57"/>
  <c r="V250" i="57"/>
  <c r="V251" i="57"/>
  <c r="V252" i="57"/>
  <c r="V253" i="57"/>
  <c r="V255" i="57"/>
  <c r="V256" i="57"/>
  <c r="V257" i="57"/>
  <c r="V258" i="57"/>
  <c r="V259" i="57"/>
  <c r="V260" i="57"/>
  <c r="V261" i="57"/>
  <c r="V263" i="57"/>
  <c r="V264" i="57"/>
  <c r="V265" i="57"/>
  <c r="V266" i="57"/>
  <c r="V267" i="57"/>
  <c r="V268" i="57"/>
  <c r="V269" i="57"/>
  <c r="V270" i="57"/>
  <c r="V271" i="57"/>
  <c r="V272" i="57"/>
  <c r="V273" i="57"/>
  <c r="V274" i="57"/>
  <c r="V275" i="57"/>
  <c r="V276" i="57"/>
  <c r="V277" i="57"/>
  <c r="V280" i="57"/>
  <c r="V281" i="57"/>
  <c r="V283" i="57"/>
  <c r="V284" i="57"/>
  <c r="V285" i="57"/>
  <c r="V286" i="57"/>
  <c r="V187" i="57"/>
  <c r="V188" i="57"/>
  <c r="V189" i="57"/>
  <c r="V190" i="57"/>
  <c r="V191" i="57"/>
  <c r="V192" i="57"/>
  <c r="V193" i="57"/>
  <c r="V194" i="57"/>
  <c r="V195" i="57"/>
  <c r="V196" i="57"/>
  <c r="V197" i="57"/>
  <c r="V199" i="57"/>
  <c r="V201" i="57"/>
  <c r="V202" i="57"/>
  <c r="V203" i="57"/>
  <c r="V204" i="57"/>
  <c r="V205" i="57"/>
  <c r="V206" i="57"/>
  <c r="V174" i="57"/>
  <c r="V150" i="57"/>
  <c r="V151" i="57"/>
  <c r="V152" i="57"/>
  <c r="V153" i="57"/>
  <c r="V154" i="57"/>
  <c r="V155" i="57"/>
  <c r="V156" i="57"/>
  <c r="V157" i="57"/>
  <c r="V158" i="57"/>
  <c r="V159" i="57"/>
  <c r="V160" i="57"/>
  <c r="V161" i="57"/>
  <c r="V162" i="57"/>
  <c r="V163" i="57"/>
  <c r="V164" i="57"/>
  <c r="V165" i="57"/>
  <c r="V166" i="57"/>
  <c r="V167" i="57"/>
  <c r="V168" i="57"/>
  <c r="V169" i="57"/>
  <c r="V170" i="57"/>
  <c r="V171" i="57"/>
  <c r="V172" i="57"/>
  <c r="V173" i="57"/>
  <c r="V175" i="57"/>
  <c r="V176" i="57"/>
  <c r="V177" i="57"/>
  <c r="V178" i="57"/>
  <c r="V74" i="57"/>
  <c r="V73" i="57"/>
  <c r="V71" i="57"/>
  <c r="V70" i="57"/>
  <c r="V69" i="57"/>
  <c r="V67" i="57"/>
  <c r="V58" i="57"/>
  <c r="V54" i="57"/>
  <c r="V51" i="57"/>
  <c r="Z279" i="63"/>
  <c r="Z280" i="63"/>
  <c r="Z281" i="63"/>
  <c r="Z283" i="63"/>
  <c r="Z284" i="63"/>
  <c r="Z278" i="63"/>
  <c r="Z236" i="63"/>
  <c r="Z223" i="63"/>
  <c r="Z224" i="63"/>
  <c r="Z225" i="63"/>
  <c r="Z226" i="63"/>
  <c r="Z227" i="63"/>
  <c r="Z228" i="63"/>
  <c r="Z229" i="63"/>
  <c r="Z230" i="63"/>
  <c r="Z231" i="63"/>
  <c r="Z232" i="63"/>
  <c r="Z233" i="63"/>
  <c r="Z235" i="63"/>
  <c r="Z237" i="63"/>
  <c r="Z238" i="63"/>
  <c r="Z239" i="63"/>
  <c r="Z240" i="63"/>
  <c r="Z203" i="63"/>
  <c r="Z204" i="63"/>
  <c r="Z205" i="63"/>
  <c r="Z206" i="63"/>
  <c r="Z207" i="63"/>
  <c r="Z208" i="63"/>
  <c r="Z209" i="63"/>
  <c r="Z210" i="63"/>
  <c r="Z211" i="63"/>
  <c r="Z213" i="63"/>
  <c r="Z214" i="63"/>
  <c r="Z215" i="63"/>
  <c r="Z216" i="63"/>
  <c r="Z217" i="63"/>
  <c r="Z202" i="63"/>
  <c r="Z191" i="63"/>
  <c r="Z192" i="63"/>
  <c r="Z193" i="63"/>
  <c r="Z194" i="63"/>
  <c r="Z195" i="63"/>
  <c r="Z196" i="63"/>
  <c r="Z197" i="63"/>
  <c r="Z180" i="63"/>
  <c r="Z181" i="63"/>
  <c r="Z182" i="63"/>
  <c r="Z183" i="63"/>
  <c r="Z184" i="63"/>
  <c r="Z185" i="63"/>
  <c r="Z186" i="63"/>
  <c r="Z172" i="63"/>
  <c r="Z166" i="63"/>
  <c r="Z167" i="63"/>
  <c r="Z168" i="63"/>
  <c r="Z169" i="63"/>
  <c r="Z170" i="63"/>
  <c r="Z171" i="63"/>
  <c r="Z173" i="63"/>
  <c r="Z174" i="63"/>
  <c r="Z175" i="63"/>
  <c r="Z147" i="63"/>
  <c r="Z148" i="63"/>
  <c r="Z101" i="63"/>
  <c r="Z102" i="63"/>
  <c r="Z103" i="63"/>
  <c r="Z104" i="63"/>
  <c r="Z105" i="63"/>
  <c r="Z106" i="63"/>
  <c r="Z107" i="63"/>
  <c r="Z108" i="63"/>
  <c r="Z76" i="63"/>
  <c r="Z77" i="63"/>
  <c r="Z78" i="63"/>
  <c r="Z79" i="63"/>
  <c r="Z80" i="63"/>
  <c r="Z81" i="63"/>
  <c r="Z82" i="63"/>
  <c r="Z83" i="63"/>
  <c r="Z84" i="63"/>
  <c r="Z85" i="63"/>
  <c r="Z86" i="63"/>
  <c r="Z88" i="63"/>
  <c r="Z89" i="63"/>
  <c r="Z90" i="63"/>
  <c r="Z91" i="63"/>
  <c r="Z92" i="63"/>
  <c r="Z93" i="63"/>
  <c r="Z94" i="63"/>
  <c r="Z22" i="63"/>
  <c r="Z23" i="63"/>
  <c r="Z24" i="63"/>
  <c r="Z10" i="63"/>
  <c r="Z11" i="63"/>
  <c r="Z12" i="63"/>
  <c r="Z13" i="63"/>
  <c r="Z15" i="63"/>
  <c r="Z16" i="63"/>
  <c r="Z113" i="63"/>
  <c r="Z114" i="63"/>
  <c r="Z115" i="63"/>
  <c r="Z117" i="63"/>
  <c r="Z118" i="63"/>
  <c r="Z119" i="63"/>
  <c r="Z120" i="63"/>
  <c r="Z128" i="63"/>
  <c r="Z129" i="63"/>
  <c r="Z130" i="63"/>
  <c r="Z131" i="63"/>
  <c r="Z132" i="63"/>
  <c r="Z133" i="63"/>
  <c r="Z134" i="63"/>
  <c r="Z135" i="63"/>
  <c r="Z137" i="63"/>
  <c r="Z138" i="63"/>
  <c r="Z139" i="63"/>
  <c r="Z140" i="63"/>
  <c r="Z141" i="63"/>
  <c r="Z126" i="63"/>
  <c r="Z156" i="63"/>
  <c r="Z244" i="63"/>
  <c r="Q28" i="76"/>
  <c r="O45" i="60"/>
  <c r="O21" i="60" l="1"/>
  <c r="O22" i="60"/>
  <c r="O23" i="60"/>
  <c r="O24" i="60"/>
  <c r="O25" i="60"/>
  <c r="O26" i="60"/>
  <c r="O28" i="60"/>
  <c r="O29" i="60"/>
  <c r="O30" i="60"/>
  <c r="O31" i="60"/>
  <c r="O32" i="60"/>
  <c r="O33" i="60"/>
  <c r="O34" i="60"/>
  <c r="O35" i="60"/>
  <c r="O36" i="60"/>
  <c r="O37" i="60"/>
  <c r="O39" i="60"/>
  <c r="O41" i="60"/>
  <c r="O42" i="60"/>
  <c r="O43" i="60"/>
  <c r="O44" i="60"/>
  <c r="Z68" i="63"/>
  <c r="V526" i="57"/>
  <c r="V395" i="57"/>
  <c r="V49" i="57"/>
  <c r="V52" i="57"/>
  <c r="V34" i="57"/>
  <c r="V55" i="57"/>
  <c r="V50" i="57"/>
  <c r="Z146" i="63" l="1"/>
  <c r="Y149" i="63"/>
  <c r="Y161" i="63" s="1"/>
  <c r="V143" i="63" l="1"/>
  <c r="V149" i="63" l="1"/>
  <c r="V161" i="63" s="1"/>
  <c r="V279" i="57"/>
  <c r="O28" i="58" l="1"/>
  <c r="O8" i="58" s="1"/>
  <c r="AA234" i="63" l="1"/>
  <c r="Y18" i="63" l="1"/>
  <c r="P39" i="76" l="1"/>
  <c r="U502" i="57"/>
  <c r="U287" i="57"/>
  <c r="U207" i="57"/>
  <c r="W178" i="57" l="1"/>
  <c r="W411" i="57"/>
  <c r="U59" i="57" l="1"/>
  <c r="S59" i="57"/>
  <c r="W58" i="57"/>
  <c r="Q59" i="57"/>
  <c r="S287" i="57" l="1"/>
  <c r="W286" i="57"/>
  <c r="Q287" i="57"/>
  <c r="V287" i="57" s="1"/>
  <c r="P287" i="57"/>
  <c r="W276" i="57"/>
  <c r="AA284" i="63" l="1"/>
  <c r="Y285" i="63"/>
  <c r="Y53" i="63" s="1"/>
  <c r="Z275" i="63"/>
  <c r="V285" i="63"/>
  <c r="V53" i="63" s="1"/>
  <c r="T285" i="63"/>
  <c r="T53" i="63" s="1"/>
  <c r="R285" i="63"/>
  <c r="R53" i="63" s="1"/>
  <c r="AA283" i="63"/>
  <c r="Y264" i="63"/>
  <c r="Y246" i="63"/>
  <c r="U25" i="57"/>
  <c r="T26" i="57"/>
  <c r="U37" i="57"/>
  <c r="U8" i="57" s="1"/>
  <c r="AA67" i="63"/>
  <c r="S207" i="57"/>
  <c r="S182" i="57"/>
  <c r="T16" i="57"/>
  <c r="Q182" i="57"/>
  <c r="W181" i="57"/>
  <c r="P182" i="57"/>
  <c r="W180" i="57"/>
  <c r="W74" i="57"/>
  <c r="T18" i="63"/>
  <c r="T26" i="63"/>
  <c r="Z251" i="63"/>
  <c r="T264" i="63"/>
  <c r="AA282" i="63"/>
  <c r="AA172" i="63"/>
  <c r="AA68" i="63"/>
  <c r="AA17" i="63"/>
  <c r="W462" i="57"/>
  <c r="J29" i="88"/>
  <c r="J11" i="88" s="1"/>
  <c r="J12" i="88" s="1"/>
  <c r="R18" i="63"/>
  <c r="P577" i="57"/>
  <c r="P139" i="57"/>
  <c r="P16" i="57" s="1"/>
  <c r="P136" i="57"/>
  <c r="P15" i="57" s="1"/>
  <c r="P93" i="57"/>
  <c r="P14" i="57" s="1"/>
  <c r="P80" i="57"/>
  <c r="P13" i="57" s="1"/>
  <c r="P12" i="57"/>
  <c r="P11" i="57"/>
  <c r="P47" i="57"/>
  <c r="P10" i="57" s="1"/>
  <c r="P40" i="57"/>
  <c r="P9" i="57" s="1"/>
  <c r="P37" i="57"/>
  <c r="P8" i="57" s="1"/>
  <c r="K22" i="88"/>
  <c r="K8" i="88" s="1"/>
  <c r="K9" i="88" s="1"/>
  <c r="L22" i="88"/>
  <c r="L8" i="88" s="1"/>
  <c r="L9" i="88" s="1"/>
  <c r="M22" i="88"/>
  <c r="M8" i="88" s="1"/>
  <c r="M9" i="88" s="1"/>
  <c r="J22" i="88"/>
  <c r="J8" i="88" s="1"/>
  <c r="J9" i="88" s="1"/>
  <c r="O22" i="88"/>
  <c r="L39" i="76"/>
  <c r="AA66" i="63"/>
  <c r="V18" i="63"/>
  <c r="T42" i="63"/>
  <c r="W453" i="57"/>
  <c r="W447" i="57"/>
  <c r="W500" i="57"/>
  <c r="W325" i="57"/>
  <c r="Q207" i="57"/>
  <c r="W206" i="57"/>
  <c r="P207" i="57"/>
  <c r="Q136" i="57"/>
  <c r="Q15" i="57" s="1"/>
  <c r="R136" i="57"/>
  <c r="R15" i="57" s="1"/>
  <c r="S136" i="57"/>
  <c r="S15" i="57" s="1"/>
  <c r="T136" i="57"/>
  <c r="T15" i="57" s="1"/>
  <c r="U136" i="57"/>
  <c r="Q93" i="57"/>
  <c r="Q14" i="57" s="1"/>
  <c r="R93" i="57"/>
  <c r="R14" i="57" s="1"/>
  <c r="S93" i="57"/>
  <c r="S14" i="57" s="1"/>
  <c r="T93" i="57"/>
  <c r="T14" i="57" s="1"/>
  <c r="U93" i="57"/>
  <c r="U14" i="57" s="1"/>
  <c r="Q80" i="57"/>
  <c r="Q13" i="57" s="1"/>
  <c r="R80" i="57"/>
  <c r="R13" i="57" s="1"/>
  <c r="S80" i="57"/>
  <c r="S13" i="57" s="1"/>
  <c r="T80" i="57"/>
  <c r="T13" i="57" s="1"/>
  <c r="U80" i="57"/>
  <c r="U13" i="57" s="1"/>
  <c r="R76" i="57"/>
  <c r="R12" i="57" s="1"/>
  <c r="S12" i="57"/>
  <c r="T76" i="57"/>
  <c r="T12" i="57" s="1"/>
  <c r="U12" i="57"/>
  <c r="Q11" i="57"/>
  <c r="R59" i="57"/>
  <c r="R11" i="57" s="1"/>
  <c r="S11" i="57"/>
  <c r="T59" i="57"/>
  <c r="T11" i="57" s="1"/>
  <c r="U11" i="57"/>
  <c r="Q47" i="57"/>
  <c r="Q10" i="57" s="1"/>
  <c r="R47" i="57"/>
  <c r="R10" i="57" s="1"/>
  <c r="S47" i="57"/>
  <c r="S10" i="57" s="1"/>
  <c r="T47" i="57"/>
  <c r="T10" i="57" s="1"/>
  <c r="U47" i="57"/>
  <c r="U10" i="57" s="1"/>
  <c r="Q40" i="57"/>
  <c r="Q9" i="57" s="1"/>
  <c r="R40" i="57"/>
  <c r="R9" i="57" s="1"/>
  <c r="S40" i="57"/>
  <c r="S9" i="57" s="1"/>
  <c r="T40" i="57"/>
  <c r="T9" i="57" s="1"/>
  <c r="U40" i="57"/>
  <c r="U9" i="57" s="1"/>
  <c r="Q8" i="57"/>
  <c r="R37" i="57"/>
  <c r="R8" i="57" s="1"/>
  <c r="S37" i="57"/>
  <c r="S8" i="57" s="1"/>
  <c r="T37" i="57"/>
  <c r="T8" i="57" s="1"/>
  <c r="AA211" i="63"/>
  <c r="AA135" i="63"/>
  <c r="T246" i="63"/>
  <c r="W327" i="57"/>
  <c r="J7" i="89"/>
  <c r="W7" i="89"/>
  <c r="X7" i="89"/>
  <c r="Z7" i="89"/>
  <c r="J8" i="89"/>
  <c r="K8" i="89" s="1"/>
  <c r="W8" i="89"/>
  <c r="X8" i="89"/>
  <c r="Z8" i="89"/>
  <c r="J9" i="89"/>
  <c r="W9" i="89"/>
  <c r="X9" i="89"/>
  <c r="Z9" i="89"/>
  <c r="J10" i="89"/>
  <c r="K10" i="89"/>
  <c r="W10" i="89"/>
  <c r="X10" i="89"/>
  <c r="Z10" i="89"/>
  <c r="J11" i="89"/>
  <c r="K11" i="89" s="1"/>
  <c r="L11" i="89" s="1"/>
  <c r="S11" i="89" s="1"/>
  <c r="W11" i="89"/>
  <c r="X11" i="89"/>
  <c r="Z11" i="89"/>
  <c r="J12" i="89"/>
  <c r="W12" i="89"/>
  <c r="X12" i="89"/>
  <c r="Z12" i="89"/>
  <c r="J13" i="89"/>
  <c r="K13" i="89"/>
  <c r="W13" i="89"/>
  <c r="X13" i="89"/>
  <c r="Z13" i="89"/>
  <c r="M14" i="89"/>
  <c r="N14" i="89"/>
  <c r="O14" i="89"/>
  <c r="P14" i="89"/>
  <c r="Q14" i="89"/>
  <c r="J17" i="89"/>
  <c r="K17" i="89" s="1"/>
  <c r="W17" i="89"/>
  <c r="X17" i="89"/>
  <c r="Z17" i="89"/>
  <c r="J18" i="89"/>
  <c r="Z18" i="89"/>
  <c r="J19" i="89"/>
  <c r="K19" i="89" s="1"/>
  <c r="L19" i="89" s="1"/>
  <c r="S19" i="89" s="1"/>
  <c r="M19" i="89"/>
  <c r="M20" i="89" s="1"/>
  <c r="W19" i="89"/>
  <c r="X19" i="89"/>
  <c r="X20" i="89"/>
  <c r="Z19" i="89"/>
  <c r="N20" i="89"/>
  <c r="O20" i="89"/>
  <c r="P20" i="89"/>
  <c r="Q20" i="89"/>
  <c r="J22" i="89"/>
  <c r="M22" i="89"/>
  <c r="O22" i="89"/>
  <c r="O47" i="89"/>
  <c r="X22" i="89"/>
  <c r="Z22" i="89"/>
  <c r="J23" i="89"/>
  <c r="L23" i="89" s="1"/>
  <c r="M23" i="89"/>
  <c r="W23" i="89"/>
  <c r="X23" i="89"/>
  <c r="Z23" i="89"/>
  <c r="J24" i="89"/>
  <c r="L24" i="89" s="1"/>
  <c r="S24" i="89" s="1"/>
  <c r="M24" i="89"/>
  <c r="W24" i="89"/>
  <c r="X24" i="89"/>
  <c r="Z24" i="89"/>
  <c r="J25" i="89"/>
  <c r="L25" i="89"/>
  <c r="S25" i="89"/>
  <c r="Y25" i="89" s="1"/>
  <c r="M25" i="89"/>
  <c r="W25" i="89"/>
  <c r="X25" i="89"/>
  <c r="Z25" i="89"/>
  <c r="J26" i="89"/>
  <c r="K26" i="89" s="1"/>
  <c r="L26" i="89" s="1"/>
  <c r="S26" i="89" s="1"/>
  <c r="M26" i="89"/>
  <c r="W26" i="89"/>
  <c r="X26" i="89"/>
  <c r="Z26" i="89"/>
  <c r="J27" i="89"/>
  <c r="K27" i="89" s="1"/>
  <c r="L27" i="89" s="1"/>
  <c r="S27" i="89" s="1"/>
  <c r="W27" i="89"/>
  <c r="X27" i="89"/>
  <c r="Z27" i="89"/>
  <c r="J28" i="89"/>
  <c r="W28" i="89"/>
  <c r="X28" i="89"/>
  <c r="Z28" i="89"/>
  <c r="J29" i="89"/>
  <c r="K29" i="89" s="1"/>
  <c r="L29" i="89" s="1"/>
  <c r="S29" i="89" s="1"/>
  <c r="W29" i="89"/>
  <c r="X29" i="89"/>
  <c r="Z29" i="89"/>
  <c r="J30" i="89"/>
  <c r="K30" i="89" s="1"/>
  <c r="W30" i="89"/>
  <c r="X30" i="89"/>
  <c r="Z30" i="89"/>
  <c r="J31" i="89"/>
  <c r="W31" i="89"/>
  <c r="X31" i="89"/>
  <c r="Z31" i="89"/>
  <c r="J32" i="89"/>
  <c r="W32" i="89"/>
  <c r="X32" i="89"/>
  <c r="Z32" i="89"/>
  <c r="J33" i="89"/>
  <c r="W33" i="89"/>
  <c r="X33" i="89"/>
  <c r="Z33" i="89"/>
  <c r="J34" i="89"/>
  <c r="K34" i="89" s="1"/>
  <c r="L34" i="89" s="1"/>
  <c r="S34" i="89" s="1"/>
  <c r="W34" i="89"/>
  <c r="X34" i="89"/>
  <c r="Z34" i="89"/>
  <c r="J35" i="89"/>
  <c r="W35" i="89"/>
  <c r="X35" i="89"/>
  <c r="Z35" i="89"/>
  <c r="J36" i="89"/>
  <c r="W36" i="89"/>
  <c r="X36" i="89"/>
  <c r="Z36" i="89"/>
  <c r="S37" i="89"/>
  <c r="J38" i="89"/>
  <c r="W38" i="89"/>
  <c r="X38" i="89"/>
  <c r="Z38" i="89"/>
  <c r="J39" i="89"/>
  <c r="W39" i="89"/>
  <c r="X39" i="89"/>
  <c r="Z39" i="89"/>
  <c r="J40" i="89"/>
  <c r="K40" i="89" s="1"/>
  <c r="W40" i="89"/>
  <c r="X40" i="89"/>
  <c r="Z40" i="89"/>
  <c r="J41" i="89"/>
  <c r="K41" i="89" s="1"/>
  <c r="W41" i="89"/>
  <c r="X41" i="89"/>
  <c r="Z41" i="89"/>
  <c r="J42" i="89"/>
  <c r="L42" i="89" s="1"/>
  <c r="S42" i="89" s="1"/>
  <c r="W42" i="89"/>
  <c r="X42" i="89"/>
  <c r="Z42" i="89"/>
  <c r="J43" i="89"/>
  <c r="L43" i="89" s="1"/>
  <c r="S43" i="89" s="1"/>
  <c r="W43" i="89"/>
  <c r="X43" i="89"/>
  <c r="Z43" i="89"/>
  <c r="S44" i="89"/>
  <c r="J45" i="89"/>
  <c r="W45" i="89"/>
  <c r="X45" i="89"/>
  <c r="Z45" i="89"/>
  <c r="J46" i="89"/>
  <c r="K46" i="89" s="1"/>
  <c r="L46" i="89" s="1"/>
  <c r="S46" i="89" s="1"/>
  <c r="W46" i="89"/>
  <c r="X46" i="89"/>
  <c r="Z46" i="89"/>
  <c r="N47" i="89"/>
  <c r="P47" i="89"/>
  <c r="Q47" i="89"/>
  <c r="R47" i="89"/>
  <c r="J50" i="89"/>
  <c r="J51" i="89"/>
  <c r="L51" i="89"/>
  <c r="S51" i="89" s="1"/>
  <c r="K52" i="89"/>
  <c r="M52" i="89"/>
  <c r="N52" i="89"/>
  <c r="O52" i="89"/>
  <c r="P52" i="89"/>
  <c r="Q52" i="89"/>
  <c r="R52" i="89"/>
  <c r="T52" i="89"/>
  <c r="U52" i="89"/>
  <c r="V52" i="89"/>
  <c r="W52" i="89"/>
  <c r="X52" i="89"/>
  <c r="Y52" i="89"/>
  <c r="Z52" i="89"/>
  <c r="J55" i="89"/>
  <c r="K55" i="89" s="1"/>
  <c r="L55" i="89" s="1"/>
  <c r="S55" i="89" s="1"/>
  <c r="W55" i="89"/>
  <c r="X55" i="89"/>
  <c r="Z55" i="89"/>
  <c r="J56" i="89"/>
  <c r="K56" i="89" s="1"/>
  <c r="W56" i="89"/>
  <c r="X56" i="89"/>
  <c r="Z56" i="89"/>
  <c r="M57" i="89"/>
  <c r="N57" i="89"/>
  <c r="O57" i="89"/>
  <c r="P57" i="89"/>
  <c r="Q57" i="89"/>
  <c r="R57" i="89"/>
  <c r="J60" i="89"/>
  <c r="L60" i="89" s="1"/>
  <c r="S60" i="89" s="1"/>
  <c r="S61" i="89" s="1"/>
  <c r="K61" i="89"/>
  <c r="M61" i="89"/>
  <c r="N61" i="89"/>
  <c r="O61" i="89"/>
  <c r="P61" i="89"/>
  <c r="Q61" i="89"/>
  <c r="R61" i="89"/>
  <c r="T61" i="89"/>
  <c r="U61" i="89"/>
  <c r="V61" i="89"/>
  <c r="W61" i="89"/>
  <c r="X61" i="89"/>
  <c r="Y61" i="89"/>
  <c r="Z61" i="89"/>
  <c r="J63" i="89"/>
  <c r="L63" i="89" s="1"/>
  <c r="S63" i="89" s="1"/>
  <c r="X63" i="89"/>
  <c r="Z63" i="89"/>
  <c r="J64" i="89"/>
  <c r="L64" i="89" s="1"/>
  <c r="X64" i="89"/>
  <c r="Z64" i="89"/>
  <c r="K65" i="89"/>
  <c r="M65" i="89"/>
  <c r="N65" i="89"/>
  <c r="O65" i="89"/>
  <c r="P65" i="89"/>
  <c r="Q65" i="89"/>
  <c r="R65" i="89"/>
  <c r="W65" i="89"/>
  <c r="J67" i="89"/>
  <c r="W67" i="89"/>
  <c r="X67" i="89"/>
  <c r="Z67" i="89"/>
  <c r="J68" i="89"/>
  <c r="K68" i="89" s="1"/>
  <c r="X68" i="89"/>
  <c r="Z68" i="89"/>
  <c r="J69" i="89"/>
  <c r="K69" i="89" s="1"/>
  <c r="L69" i="89" s="1"/>
  <c r="S69" i="89" s="1"/>
  <c r="W69" i="89"/>
  <c r="X69" i="89"/>
  <c r="Z69" i="89"/>
  <c r="J70" i="89"/>
  <c r="K70" i="89" s="1"/>
  <c r="L70" i="89" s="1"/>
  <c r="S70" i="89" s="1"/>
  <c r="W70" i="89"/>
  <c r="X70" i="89"/>
  <c r="Z70" i="89"/>
  <c r="Z198" i="89" s="1"/>
  <c r="M71" i="89"/>
  <c r="N71" i="89"/>
  <c r="O71" i="89"/>
  <c r="P71" i="89"/>
  <c r="Q71" i="89"/>
  <c r="J73" i="89"/>
  <c r="K73" i="89" s="1"/>
  <c r="W73" i="89"/>
  <c r="W74" i="89" s="1"/>
  <c r="X73" i="89"/>
  <c r="Z73" i="89"/>
  <c r="Z74" i="89" s="1"/>
  <c r="M74" i="89"/>
  <c r="N74" i="89"/>
  <c r="O74" i="89"/>
  <c r="P74" i="89"/>
  <c r="Q74" i="89"/>
  <c r="X74" i="89"/>
  <c r="J76" i="89"/>
  <c r="W76" i="89"/>
  <c r="W78" i="89" s="1"/>
  <c r="X76" i="89"/>
  <c r="Z76" i="89"/>
  <c r="J77" i="89"/>
  <c r="L77" i="89" s="1"/>
  <c r="S77" i="89" s="1"/>
  <c r="X77" i="89"/>
  <c r="X78" i="89" s="1"/>
  <c r="Z77" i="89"/>
  <c r="M78" i="89"/>
  <c r="N78" i="89"/>
  <c r="O78" i="89"/>
  <c r="P78" i="89"/>
  <c r="Q78" i="89"/>
  <c r="R78" i="89"/>
  <c r="J80" i="89"/>
  <c r="K80" i="89" s="1"/>
  <c r="K81" i="89" s="1"/>
  <c r="W80" i="89"/>
  <c r="W81" i="89" s="1"/>
  <c r="X80" i="89"/>
  <c r="X81" i="89" s="1"/>
  <c r="Z80" i="89"/>
  <c r="Z81" i="89" s="1"/>
  <c r="M81" i="89"/>
  <c r="N81" i="89"/>
  <c r="O81" i="89"/>
  <c r="P81" i="89"/>
  <c r="J84" i="89"/>
  <c r="J85" i="89" s="1"/>
  <c r="M85" i="89"/>
  <c r="N85" i="89"/>
  <c r="O85" i="89"/>
  <c r="P85" i="89"/>
  <c r="Q85" i="89"/>
  <c r="W85" i="89"/>
  <c r="X85" i="89"/>
  <c r="Z85" i="89"/>
  <c r="V93" i="89"/>
  <c r="J94" i="89"/>
  <c r="K94" i="89"/>
  <c r="M94" i="89"/>
  <c r="N94" i="89"/>
  <c r="J97" i="89"/>
  <c r="M97" i="89"/>
  <c r="O97" i="89"/>
  <c r="O110" i="89"/>
  <c r="W97" i="89"/>
  <c r="X97" i="89"/>
  <c r="Z97" i="89"/>
  <c r="J98" i="89"/>
  <c r="L98" i="89"/>
  <c r="M98" i="89"/>
  <c r="M110" i="89" s="1"/>
  <c r="W98" i="89"/>
  <c r="X98" i="89"/>
  <c r="Z98" i="89"/>
  <c r="J99" i="89"/>
  <c r="K99" i="89" s="1"/>
  <c r="W99" i="89"/>
  <c r="X99" i="89"/>
  <c r="Z99" i="89"/>
  <c r="J100" i="89"/>
  <c r="W100" i="89"/>
  <c r="W136" i="89" s="1"/>
  <c r="X100" i="89"/>
  <c r="Z100" i="89"/>
  <c r="J101" i="89"/>
  <c r="W101" i="89"/>
  <c r="X101" i="89"/>
  <c r="Z101" i="89"/>
  <c r="J102" i="89"/>
  <c r="W102" i="89"/>
  <c r="X102" i="89"/>
  <c r="Z102" i="89"/>
  <c r="J103" i="89"/>
  <c r="K103" i="89" s="1"/>
  <c r="L103" i="89" s="1"/>
  <c r="S103" i="89" s="1"/>
  <c r="W103" i="89"/>
  <c r="X103" i="89"/>
  <c r="Z103" i="89"/>
  <c r="J104" i="89"/>
  <c r="K104" i="89"/>
  <c r="W104" i="89"/>
  <c r="X104" i="89"/>
  <c r="Z104" i="89"/>
  <c r="J105" i="89"/>
  <c r="K105" i="89" s="1"/>
  <c r="W105" i="89"/>
  <c r="X105" i="89"/>
  <c r="Z105" i="89"/>
  <c r="J106" i="89"/>
  <c r="W106" i="89"/>
  <c r="X106" i="89"/>
  <c r="Z106" i="89"/>
  <c r="J107" i="89"/>
  <c r="W107" i="89"/>
  <c r="X107" i="89"/>
  <c r="Z107" i="89"/>
  <c r="J108" i="89"/>
  <c r="Z108" i="89"/>
  <c r="J109" i="89"/>
  <c r="K109" i="89" s="1"/>
  <c r="W109" i="89"/>
  <c r="X109" i="89"/>
  <c r="Z109" i="89"/>
  <c r="N110" i="89"/>
  <c r="P110" i="89"/>
  <c r="Q110" i="89"/>
  <c r="J112" i="89"/>
  <c r="M112" i="89"/>
  <c r="W112" i="89"/>
  <c r="X112" i="89"/>
  <c r="Z112" i="89"/>
  <c r="J113" i="89"/>
  <c r="K113" i="89" s="1"/>
  <c r="L113" i="89" s="1"/>
  <c r="S113" i="89" s="1"/>
  <c r="T113" i="89" s="1"/>
  <c r="M113" i="89"/>
  <c r="O113" i="89"/>
  <c r="O122" i="89" s="1"/>
  <c r="W113" i="89"/>
  <c r="X113" i="89"/>
  <c r="Z113" i="89"/>
  <c r="J114" i="89"/>
  <c r="K114" i="89" s="1"/>
  <c r="L114" i="89" s="1"/>
  <c r="S114" i="89" s="1"/>
  <c r="W114" i="89"/>
  <c r="X114" i="89"/>
  <c r="Z114" i="89"/>
  <c r="J115" i="89"/>
  <c r="K115" i="89" s="1"/>
  <c r="L115" i="89" s="1"/>
  <c r="S115" i="89" s="1"/>
  <c r="W115" i="89"/>
  <c r="X115" i="89"/>
  <c r="Z115" i="89"/>
  <c r="J116" i="89"/>
  <c r="L116" i="89" s="1"/>
  <c r="S116" i="89" s="1"/>
  <c r="J118" i="89"/>
  <c r="M118" i="89"/>
  <c r="W118" i="89"/>
  <c r="X118" i="89"/>
  <c r="Z118" i="89"/>
  <c r="J119" i="89"/>
  <c r="W119" i="89"/>
  <c r="X119" i="89"/>
  <c r="Z119" i="89"/>
  <c r="J120" i="89"/>
  <c r="W120" i="89"/>
  <c r="X120" i="89"/>
  <c r="Z120" i="89"/>
  <c r="J121" i="89"/>
  <c r="L121" i="89" s="1"/>
  <c r="S121" i="89" s="1"/>
  <c r="N122" i="89"/>
  <c r="P122" i="89"/>
  <c r="P130" i="89"/>
  <c r="Q122" i="89"/>
  <c r="R122" i="89"/>
  <c r="J126" i="89"/>
  <c r="M127" i="89"/>
  <c r="N127" i="89"/>
  <c r="O127" i="89"/>
  <c r="P127" i="89"/>
  <c r="Q127" i="89"/>
  <c r="W127" i="89"/>
  <c r="X127" i="89"/>
  <c r="Z127" i="89"/>
  <c r="V143" i="89"/>
  <c r="W143" i="89"/>
  <c r="J144" i="89"/>
  <c r="J159" i="89" s="1"/>
  <c r="K144" i="89"/>
  <c r="J145" i="89"/>
  <c r="W145" i="89"/>
  <c r="W146" i="89" s="1"/>
  <c r="X145" i="89"/>
  <c r="X146" i="89" s="1"/>
  <c r="Z145" i="89"/>
  <c r="Z146" i="89"/>
  <c r="M146" i="89"/>
  <c r="N146" i="89"/>
  <c r="O146" i="89"/>
  <c r="P146" i="89"/>
  <c r="Q146" i="89"/>
  <c r="AB151" i="89"/>
  <c r="K159" i="89"/>
  <c r="J160" i="89"/>
  <c r="Z160" i="89"/>
  <c r="Z161" i="89" s="1"/>
  <c r="Z165" i="89" s="1"/>
  <c r="K161" i="89"/>
  <c r="K165" i="89"/>
  <c r="M161" i="89"/>
  <c r="M165" i="89" s="1"/>
  <c r="N161" i="89"/>
  <c r="N165" i="89" s="1"/>
  <c r="O161" i="89"/>
  <c r="O165" i="89"/>
  <c r="P161" i="89"/>
  <c r="P165" i="89"/>
  <c r="Q161" i="89"/>
  <c r="Q165" i="89"/>
  <c r="V161" i="89"/>
  <c r="V165" i="89" s="1"/>
  <c r="W161" i="89"/>
  <c r="W165" i="89" s="1"/>
  <c r="X161" i="89"/>
  <c r="X165" i="89"/>
  <c r="AB166" i="89"/>
  <c r="T175" i="89"/>
  <c r="T178" i="89" s="1"/>
  <c r="T176" i="89"/>
  <c r="T177" i="89"/>
  <c r="T184" i="89"/>
  <c r="J199" i="89"/>
  <c r="K199" i="89" s="1"/>
  <c r="L199" i="89" s="1"/>
  <c r="S199" i="89" s="1"/>
  <c r="V199" i="89" s="1"/>
  <c r="W199" i="89"/>
  <c r="X199" i="89"/>
  <c r="Z199" i="89"/>
  <c r="V584" i="57"/>
  <c r="V588" i="57"/>
  <c r="V585" i="57"/>
  <c r="AA130" i="63"/>
  <c r="AA134" i="63"/>
  <c r="AA210" i="63"/>
  <c r="AA131" i="63"/>
  <c r="Q23" i="76"/>
  <c r="Q27" i="76"/>
  <c r="Q24" i="76"/>
  <c r="Q10" i="76"/>
  <c r="D13" i="76"/>
  <c r="E13" i="76"/>
  <c r="F13" i="76"/>
  <c r="G13" i="76"/>
  <c r="H13" i="76"/>
  <c r="I13" i="76"/>
  <c r="J13" i="76"/>
  <c r="K13" i="76"/>
  <c r="L13" i="76"/>
  <c r="M13" i="76"/>
  <c r="N13" i="76"/>
  <c r="O13" i="76"/>
  <c r="P13" i="76"/>
  <c r="P42" i="76" s="1"/>
  <c r="O39" i="76"/>
  <c r="Q30" i="76"/>
  <c r="Q31" i="76"/>
  <c r="Q33" i="76"/>
  <c r="Q34" i="76"/>
  <c r="Q35" i="76"/>
  <c r="Q36" i="76"/>
  <c r="Q37" i="76"/>
  <c r="D39" i="76"/>
  <c r="E39" i="76"/>
  <c r="F39" i="76"/>
  <c r="G39" i="76"/>
  <c r="H39" i="76"/>
  <c r="I39" i="76"/>
  <c r="J39" i="76"/>
  <c r="K39" i="76"/>
  <c r="K42" i="76" s="1"/>
  <c r="M39" i="76"/>
  <c r="N39" i="76"/>
  <c r="E22" i="88"/>
  <c r="E8" i="88" s="1"/>
  <c r="E9" i="88" s="1"/>
  <c r="F22" i="88"/>
  <c r="F8" i="88" s="1"/>
  <c r="F9" i="88" s="1"/>
  <c r="G22" i="88"/>
  <c r="G8" i="88" s="1"/>
  <c r="G9" i="88" s="1"/>
  <c r="H22" i="88"/>
  <c r="H8" i="88" s="1"/>
  <c r="H9" i="88" s="1"/>
  <c r="I22" i="88"/>
  <c r="I8" i="88" s="1"/>
  <c r="I9" i="88" s="1"/>
  <c r="N22" i="88"/>
  <c r="E29" i="88"/>
  <c r="E11" i="88" s="1"/>
  <c r="E12" i="88" s="1"/>
  <c r="F29" i="88"/>
  <c r="F11" i="88" s="1"/>
  <c r="F12" i="88" s="1"/>
  <c r="G29" i="88"/>
  <c r="G11" i="88" s="1"/>
  <c r="G12" i="88" s="1"/>
  <c r="H29" i="88"/>
  <c r="H11" i="88" s="1"/>
  <c r="H12" i="88" s="1"/>
  <c r="I29" i="88"/>
  <c r="I11" i="88" s="1"/>
  <c r="I12" i="88" s="1"/>
  <c r="K29" i="88"/>
  <c r="K11" i="88" s="1"/>
  <c r="K12" i="88" s="1"/>
  <c r="L29" i="88"/>
  <c r="L11" i="88" s="1"/>
  <c r="L12" i="88" s="1"/>
  <c r="M29" i="88"/>
  <c r="M11" i="88" s="1"/>
  <c r="M12" i="88" s="1"/>
  <c r="N29" i="88"/>
  <c r="O29" i="88"/>
  <c r="O11" i="88" s="1"/>
  <c r="O12" i="88" s="1"/>
  <c r="E28" i="58"/>
  <c r="E8" i="58" s="1"/>
  <c r="E9" i="58" s="1"/>
  <c r="F28" i="58"/>
  <c r="F8" i="58" s="1"/>
  <c r="F9" i="58" s="1"/>
  <c r="G28" i="58"/>
  <c r="G8" i="58" s="1"/>
  <c r="G9" i="58" s="1"/>
  <c r="H28" i="58"/>
  <c r="H8" i="58" s="1"/>
  <c r="H9" i="58" s="1"/>
  <c r="I28" i="58"/>
  <c r="I8" i="58" s="1"/>
  <c r="I9" i="58" s="1"/>
  <c r="J28" i="58"/>
  <c r="K28" i="58"/>
  <c r="L28" i="58"/>
  <c r="M28" i="58"/>
  <c r="N28" i="58"/>
  <c r="E48" i="58"/>
  <c r="E11" i="58" s="1"/>
  <c r="E12" i="58" s="1"/>
  <c r="F48" i="58"/>
  <c r="F11" i="58" s="1"/>
  <c r="F12" i="58" s="1"/>
  <c r="G48" i="58"/>
  <c r="G11" i="58" s="1"/>
  <c r="G12" i="58" s="1"/>
  <c r="H48" i="58"/>
  <c r="H11" i="58" s="1"/>
  <c r="H12" i="58" s="1"/>
  <c r="I48" i="58"/>
  <c r="I11" i="58" s="1"/>
  <c r="I12" i="58" s="1"/>
  <c r="J48" i="58"/>
  <c r="J11" i="58" s="1"/>
  <c r="J12" i="58" s="1"/>
  <c r="K48" i="58"/>
  <c r="K11" i="58" s="1"/>
  <c r="K12" i="58" s="1"/>
  <c r="L48" i="58"/>
  <c r="L11" i="58" s="1"/>
  <c r="L12" i="58" s="1"/>
  <c r="M48" i="58"/>
  <c r="M11" i="58" s="1"/>
  <c r="M12" i="58" s="1"/>
  <c r="N48" i="58"/>
  <c r="O48" i="58"/>
  <c r="O11" i="58" s="1"/>
  <c r="O12" i="58" s="1"/>
  <c r="O10" i="60"/>
  <c r="O11" i="60"/>
  <c r="D13" i="60"/>
  <c r="E13" i="60"/>
  <c r="F13" i="60"/>
  <c r="G13" i="60"/>
  <c r="H13" i="60"/>
  <c r="I13" i="60"/>
  <c r="J54" i="60"/>
  <c r="K54" i="60"/>
  <c r="L13" i="60"/>
  <c r="M54" i="60"/>
  <c r="D51" i="60"/>
  <c r="E51" i="60"/>
  <c r="F51" i="60"/>
  <c r="G51" i="60"/>
  <c r="G54" i="60" s="1"/>
  <c r="H51" i="60"/>
  <c r="H54" i="60" s="1"/>
  <c r="I51" i="60"/>
  <c r="L51" i="60"/>
  <c r="Z9" i="63"/>
  <c r="AA9" i="63"/>
  <c r="AA10" i="63"/>
  <c r="AA11" i="63"/>
  <c r="AA12" i="63"/>
  <c r="AA13" i="63"/>
  <c r="AA14" i="63"/>
  <c r="AA15" i="63"/>
  <c r="AA16" i="63"/>
  <c r="I18" i="63"/>
  <c r="K18" i="63"/>
  <c r="M18" i="63"/>
  <c r="N18" i="63"/>
  <c r="P18" i="63"/>
  <c r="U18" i="63"/>
  <c r="Z21" i="63"/>
  <c r="AA21" i="63"/>
  <c r="AA22" i="63"/>
  <c r="AA23" i="63"/>
  <c r="AA24" i="63"/>
  <c r="AA25" i="63"/>
  <c r="E26" i="63"/>
  <c r="E30" i="63" s="1"/>
  <c r="E34" i="63" s="1"/>
  <c r="E38" i="63" s="1"/>
  <c r="E42" i="63" s="1"/>
  <c r="I26" i="63"/>
  <c r="K26" i="63"/>
  <c r="M26" i="63"/>
  <c r="N26" i="63"/>
  <c r="P26" i="63"/>
  <c r="R26" i="63"/>
  <c r="U26" i="63"/>
  <c r="V26" i="63"/>
  <c r="AA29" i="63"/>
  <c r="AA30" i="63" s="1"/>
  <c r="I30" i="63"/>
  <c r="K30" i="63"/>
  <c r="M30" i="63"/>
  <c r="N30" i="63"/>
  <c r="P30" i="63"/>
  <c r="R30" i="63"/>
  <c r="U30" i="63"/>
  <c r="V30" i="63"/>
  <c r="Y30" i="63"/>
  <c r="AA33" i="63"/>
  <c r="AA34" i="63" s="1"/>
  <c r="I34" i="63"/>
  <c r="K34" i="63"/>
  <c r="M34" i="63"/>
  <c r="N34" i="63"/>
  <c r="P34" i="63"/>
  <c r="R34" i="63"/>
  <c r="U34" i="63"/>
  <c r="V34" i="63"/>
  <c r="Y34" i="63"/>
  <c r="AA37" i="63"/>
  <c r="AA38" i="63" s="1"/>
  <c r="I38" i="63"/>
  <c r="K38" i="63"/>
  <c r="M38" i="63"/>
  <c r="N38" i="63"/>
  <c r="P38" i="63"/>
  <c r="R38" i="63"/>
  <c r="U38" i="63"/>
  <c r="V38" i="63"/>
  <c r="Y38" i="63"/>
  <c r="I42" i="63"/>
  <c r="K42" i="63"/>
  <c r="M42" i="63"/>
  <c r="N42" i="63"/>
  <c r="P42" i="63"/>
  <c r="R42" i="63"/>
  <c r="U42" i="63"/>
  <c r="V42" i="63"/>
  <c r="Y42" i="63"/>
  <c r="E54" i="63"/>
  <c r="Z62" i="63"/>
  <c r="I72" i="63"/>
  <c r="K72" i="63"/>
  <c r="M72" i="63"/>
  <c r="N72" i="63"/>
  <c r="P72" i="63"/>
  <c r="U72" i="63"/>
  <c r="AA75" i="63"/>
  <c r="AA76" i="63"/>
  <c r="AA77" i="63"/>
  <c r="AA78" i="63"/>
  <c r="AA79" i="63"/>
  <c r="AA80" i="63"/>
  <c r="AA81" i="63"/>
  <c r="AA82" i="63"/>
  <c r="AA83" i="63"/>
  <c r="AA84" i="63"/>
  <c r="AA85" i="63"/>
  <c r="AA86" i="63"/>
  <c r="AA88" i="63"/>
  <c r="AA89" i="63"/>
  <c r="AA90" i="63"/>
  <c r="AA91" i="63"/>
  <c r="AA92" i="63"/>
  <c r="AA93" i="63"/>
  <c r="AA94" i="63"/>
  <c r="Z100" i="63"/>
  <c r="AA100" i="63"/>
  <c r="AA101" i="63"/>
  <c r="AA102" i="63"/>
  <c r="AA103" i="63"/>
  <c r="AA104" i="63"/>
  <c r="AA105" i="63"/>
  <c r="AA106" i="63"/>
  <c r="AA107" i="63"/>
  <c r="AA108" i="63"/>
  <c r="E109" i="63"/>
  <c r="I109" i="63"/>
  <c r="K109" i="63"/>
  <c r="M109" i="63"/>
  <c r="N109" i="63"/>
  <c r="P109" i="63"/>
  <c r="U109" i="63"/>
  <c r="Z112" i="63"/>
  <c r="AA112" i="63"/>
  <c r="AA113" i="63"/>
  <c r="AA115" i="63"/>
  <c r="AA117" i="63"/>
  <c r="AA118" i="63"/>
  <c r="AA119" i="63"/>
  <c r="AA120" i="63"/>
  <c r="I123" i="63"/>
  <c r="K123" i="63"/>
  <c r="M123" i="63"/>
  <c r="N123" i="63"/>
  <c r="P123" i="63"/>
  <c r="U123" i="63"/>
  <c r="W123" i="63"/>
  <c r="X123" i="63"/>
  <c r="AA137" i="63"/>
  <c r="AA138" i="63"/>
  <c r="AA139" i="63"/>
  <c r="AA140" i="63"/>
  <c r="AA141" i="63"/>
  <c r="AA142" i="63"/>
  <c r="F143" i="63"/>
  <c r="H143" i="63"/>
  <c r="I143" i="63"/>
  <c r="J143" i="63"/>
  <c r="K143" i="63"/>
  <c r="L143" i="63"/>
  <c r="M143" i="63"/>
  <c r="N143" i="63"/>
  <c r="O143" i="63"/>
  <c r="P143" i="63"/>
  <c r="Q143" i="63"/>
  <c r="S143" i="63"/>
  <c r="U143" i="63"/>
  <c r="AA146" i="63"/>
  <c r="AA147" i="63"/>
  <c r="AA148" i="63"/>
  <c r="I149" i="63"/>
  <c r="K149" i="63"/>
  <c r="M149" i="63"/>
  <c r="N149" i="63"/>
  <c r="P149" i="63"/>
  <c r="U149" i="63"/>
  <c r="Z154" i="63"/>
  <c r="AA154" i="63"/>
  <c r="Z155" i="63"/>
  <c r="AA155" i="63"/>
  <c r="AA156" i="63"/>
  <c r="Z157" i="63"/>
  <c r="AA157" i="63"/>
  <c r="I158" i="63"/>
  <c r="I52" i="63" s="1"/>
  <c r="K158" i="63"/>
  <c r="M158" i="63"/>
  <c r="N158" i="63"/>
  <c r="P158" i="63"/>
  <c r="U158" i="63"/>
  <c r="W158" i="63"/>
  <c r="I176" i="63"/>
  <c r="K176" i="63"/>
  <c r="M176" i="63"/>
  <c r="N176" i="63"/>
  <c r="P176" i="63"/>
  <c r="U176" i="63"/>
  <c r="Z179" i="63"/>
  <c r="AA179" i="63"/>
  <c r="AA180" i="63"/>
  <c r="AA181" i="63"/>
  <c r="AA182" i="63"/>
  <c r="AA183" i="63"/>
  <c r="AA184" i="63"/>
  <c r="AA185" i="63"/>
  <c r="AA186" i="63"/>
  <c r="E187" i="63"/>
  <c r="I187" i="63"/>
  <c r="K187" i="63"/>
  <c r="M187" i="63"/>
  <c r="N187" i="63"/>
  <c r="P187" i="63"/>
  <c r="U187" i="63"/>
  <c r="Z190" i="63"/>
  <c r="AA190" i="63"/>
  <c r="AA191" i="63"/>
  <c r="AA192" i="63"/>
  <c r="AA193" i="63"/>
  <c r="AA194" i="63"/>
  <c r="AA195" i="63"/>
  <c r="AA196" i="63"/>
  <c r="AA197" i="63"/>
  <c r="E199" i="63"/>
  <c r="I199" i="63"/>
  <c r="K199" i="63"/>
  <c r="M199" i="63"/>
  <c r="N199" i="63"/>
  <c r="P199" i="63"/>
  <c r="U199" i="63"/>
  <c r="AA213" i="63"/>
  <c r="AA214" i="63"/>
  <c r="AA215" i="63"/>
  <c r="AA216" i="63"/>
  <c r="AA217" i="63"/>
  <c r="V218" i="63"/>
  <c r="V219" i="63" s="1"/>
  <c r="Y218" i="63"/>
  <c r="Y219" i="63" s="1"/>
  <c r="F219" i="63"/>
  <c r="H219" i="63"/>
  <c r="I219" i="63"/>
  <c r="J219" i="63"/>
  <c r="K219" i="63"/>
  <c r="L219" i="63"/>
  <c r="M219" i="63"/>
  <c r="N219" i="63"/>
  <c r="O219" i="63"/>
  <c r="P219" i="63"/>
  <c r="Q219" i="63"/>
  <c r="S219" i="63"/>
  <c r="U219" i="63"/>
  <c r="Z222" i="63"/>
  <c r="AA222" i="63"/>
  <c r="AA223" i="63"/>
  <c r="AA224" i="63"/>
  <c r="AA225" i="63"/>
  <c r="AA226" i="63"/>
  <c r="AA227" i="63"/>
  <c r="AA228" i="63"/>
  <c r="AA229" i="63"/>
  <c r="AA230" i="63"/>
  <c r="AA231" i="63"/>
  <c r="AA232" i="63"/>
  <c r="AA233" i="63"/>
  <c r="AA235" i="63"/>
  <c r="AA236" i="63"/>
  <c r="AA237" i="63"/>
  <c r="AA238" i="63"/>
  <c r="AA239" i="63"/>
  <c r="AA240" i="63"/>
  <c r="E241" i="63"/>
  <c r="I241" i="63"/>
  <c r="K241" i="63"/>
  <c r="M241" i="63"/>
  <c r="N241" i="63"/>
  <c r="P241" i="63"/>
  <c r="U241" i="63"/>
  <c r="W241" i="63"/>
  <c r="AA244" i="63"/>
  <c r="AA245" i="63"/>
  <c r="AA246" i="63" s="1"/>
  <c r="I246" i="63"/>
  <c r="K246" i="63"/>
  <c r="M246" i="63"/>
  <c r="N246" i="63"/>
  <c r="P246" i="63"/>
  <c r="R246" i="63"/>
  <c r="U246" i="63"/>
  <c r="V246" i="63"/>
  <c r="W246" i="63"/>
  <c r="Z249" i="63"/>
  <c r="AA249" i="63"/>
  <c r="Z250" i="63"/>
  <c r="AA250" i="63"/>
  <c r="I251" i="63"/>
  <c r="K251" i="63"/>
  <c r="M251" i="63"/>
  <c r="N251" i="63"/>
  <c r="P251" i="63"/>
  <c r="U251" i="63"/>
  <c r="W251" i="63"/>
  <c r="Z262" i="63"/>
  <c r="AA262" i="63"/>
  <c r="Z263" i="63"/>
  <c r="AA263" i="63"/>
  <c r="I264" i="63"/>
  <c r="K264" i="63"/>
  <c r="M264" i="63"/>
  <c r="N264" i="63"/>
  <c r="P264" i="63"/>
  <c r="R264" i="63"/>
  <c r="U264" i="63"/>
  <c r="W264" i="63"/>
  <c r="Z267" i="63"/>
  <c r="AA267" i="63"/>
  <c r="Z268" i="63"/>
  <c r="AA268" i="63"/>
  <c r="Z269" i="63"/>
  <c r="AA269" i="63"/>
  <c r="Z270" i="63"/>
  <c r="AA270" i="63"/>
  <c r="I271" i="63"/>
  <c r="K271" i="63"/>
  <c r="M271" i="63"/>
  <c r="N271" i="63"/>
  <c r="P271" i="63"/>
  <c r="R271" i="63"/>
  <c r="U271" i="63"/>
  <c r="W271" i="63"/>
  <c r="Z274" i="63"/>
  <c r="AA274" i="63"/>
  <c r="AA275" i="63"/>
  <c r="I276" i="63"/>
  <c r="K276" i="63"/>
  <c r="M276" i="63"/>
  <c r="N276" i="63"/>
  <c r="P276" i="63"/>
  <c r="R276" i="63"/>
  <c r="U276" i="63"/>
  <c r="W276" i="63"/>
  <c r="AA278" i="63"/>
  <c r="AA279" i="63"/>
  <c r="AA280" i="63"/>
  <c r="AA281" i="63"/>
  <c r="I285" i="63"/>
  <c r="I287" i="63" s="1"/>
  <c r="K285" i="63"/>
  <c r="K53" i="63" s="1"/>
  <c r="M285" i="63"/>
  <c r="M53" i="63" s="1"/>
  <c r="N285" i="63"/>
  <c r="N53" i="63" s="1"/>
  <c r="P285" i="63"/>
  <c r="P53" i="63" s="1"/>
  <c r="U285" i="63"/>
  <c r="U53" i="63" s="1"/>
  <c r="E287" i="63"/>
  <c r="Q16" i="57"/>
  <c r="E25" i="57"/>
  <c r="G25" i="57"/>
  <c r="I25" i="57"/>
  <c r="K25" i="57"/>
  <c r="M25" i="57"/>
  <c r="N25" i="57"/>
  <c r="O25" i="57"/>
  <c r="P25" i="57"/>
  <c r="Q25" i="57"/>
  <c r="R25" i="57"/>
  <c r="S25" i="57"/>
  <c r="W33" i="57"/>
  <c r="W34" i="57"/>
  <c r="V35" i="57"/>
  <c r="W35" i="57"/>
  <c r="V36" i="57"/>
  <c r="W36" i="57"/>
  <c r="E37" i="57"/>
  <c r="E8" i="57" s="1"/>
  <c r="G37" i="57"/>
  <c r="G8" i="57" s="1"/>
  <c r="I37" i="57"/>
  <c r="I8" i="57" s="1"/>
  <c r="K37" i="57"/>
  <c r="K8" i="57" s="1"/>
  <c r="M37" i="57"/>
  <c r="M8" i="57" s="1"/>
  <c r="N37" i="57"/>
  <c r="N8" i="57" s="1"/>
  <c r="O37" i="57"/>
  <c r="O8" i="57" s="1"/>
  <c r="V39" i="57"/>
  <c r="W39" i="57"/>
  <c r="W40" i="57" s="1"/>
  <c r="W9" i="57" s="1"/>
  <c r="E40" i="57"/>
  <c r="E9" i="57" s="1"/>
  <c r="G40" i="57"/>
  <c r="G9" i="57" s="1"/>
  <c r="I40" i="57"/>
  <c r="I9" i="57" s="1"/>
  <c r="K40" i="57"/>
  <c r="K9" i="57" s="1"/>
  <c r="M40" i="57"/>
  <c r="M9" i="57" s="1"/>
  <c r="N40" i="57"/>
  <c r="N9" i="57" s="1"/>
  <c r="O40" i="57"/>
  <c r="O9" i="57" s="1"/>
  <c r="V42" i="57"/>
  <c r="W42" i="57"/>
  <c r="V43" i="57"/>
  <c r="W43" i="57"/>
  <c r="V44" i="57"/>
  <c r="W44" i="57"/>
  <c r="V45" i="57"/>
  <c r="W45" i="57"/>
  <c r="W46" i="57"/>
  <c r="E47" i="57"/>
  <c r="E10" i="57" s="1"/>
  <c r="G47" i="57"/>
  <c r="G10" i="57" s="1"/>
  <c r="I47" i="57"/>
  <c r="I10" i="57" s="1"/>
  <c r="K47" i="57"/>
  <c r="K10" i="57" s="1"/>
  <c r="M47" i="57"/>
  <c r="N47" i="57"/>
  <c r="N10" i="57" s="1"/>
  <c r="O47" i="57"/>
  <c r="O10" i="57" s="1"/>
  <c r="W49" i="57"/>
  <c r="W50" i="57"/>
  <c r="W53" i="57"/>
  <c r="W54" i="57"/>
  <c r="W55" i="57"/>
  <c r="V56" i="57"/>
  <c r="W56" i="57"/>
  <c r="V57" i="57"/>
  <c r="W57" i="57"/>
  <c r="E59" i="57"/>
  <c r="E11" i="57" s="1"/>
  <c r="G59" i="57"/>
  <c r="G11" i="57" s="1"/>
  <c r="I59" i="57"/>
  <c r="I11" i="57" s="1"/>
  <c r="K59" i="57"/>
  <c r="K11" i="57" s="1"/>
  <c r="M59" i="57"/>
  <c r="M11" i="57" s="1"/>
  <c r="N59" i="57"/>
  <c r="N11" i="57" s="1"/>
  <c r="O59" i="57"/>
  <c r="O11" i="57" s="1"/>
  <c r="V61" i="57"/>
  <c r="W61" i="57"/>
  <c r="V62" i="57"/>
  <c r="W62" i="57"/>
  <c r="W63" i="57"/>
  <c r="W66" i="57"/>
  <c r="W67" i="57"/>
  <c r="W69" i="57"/>
  <c r="W70" i="57"/>
  <c r="W71" i="57"/>
  <c r="W72" i="57"/>
  <c r="W73" i="57"/>
  <c r="E76" i="57"/>
  <c r="E12" i="57" s="1"/>
  <c r="G76" i="57"/>
  <c r="G12" i="57" s="1"/>
  <c r="I76" i="57"/>
  <c r="I12" i="57" s="1"/>
  <c r="K76" i="57"/>
  <c r="K12" i="57" s="1"/>
  <c r="M76" i="57"/>
  <c r="M12" i="57" s="1"/>
  <c r="N76" i="57"/>
  <c r="N12" i="57" s="1"/>
  <c r="O76" i="57"/>
  <c r="O12" i="57" s="1"/>
  <c r="W78" i="57"/>
  <c r="V79" i="57"/>
  <c r="W79" i="57"/>
  <c r="W80" i="57" s="1"/>
  <c r="W13" i="57" s="1"/>
  <c r="D80" i="57"/>
  <c r="E80" i="57"/>
  <c r="E13" i="57" s="1"/>
  <c r="F80" i="57"/>
  <c r="G80" i="57"/>
  <c r="G13" i="57" s="1"/>
  <c r="H80" i="57"/>
  <c r="I80" i="57"/>
  <c r="I13" i="57" s="1"/>
  <c r="J80" i="57"/>
  <c r="K80" i="57"/>
  <c r="K13" i="57" s="1"/>
  <c r="L80" i="57"/>
  <c r="M80" i="57"/>
  <c r="M13" i="57" s="1"/>
  <c r="N80" i="57"/>
  <c r="N13" i="57" s="1"/>
  <c r="O80" i="57"/>
  <c r="O13" i="57" s="1"/>
  <c r="V82" i="57"/>
  <c r="W82" i="57"/>
  <c r="V84" i="57"/>
  <c r="W84" i="57"/>
  <c r="V85" i="57"/>
  <c r="W85" i="57"/>
  <c r="V86" i="57"/>
  <c r="W86" i="57"/>
  <c r="V87" i="57"/>
  <c r="W87" i="57"/>
  <c r="V88" i="57"/>
  <c r="W88" i="57"/>
  <c r="V89" i="57"/>
  <c r="W89" i="57"/>
  <c r="V90" i="57"/>
  <c r="W90" i="57"/>
  <c r="V91" i="57"/>
  <c r="W91" i="57"/>
  <c r="V92" i="57"/>
  <c r="W92" i="57"/>
  <c r="D93" i="57"/>
  <c r="E93" i="57"/>
  <c r="E14" i="57" s="1"/>
  <c r="F93" i="57"/>
  <c r="G93" i="57"/>
  <c r="G14" i="57" s="1"/>
  <c r="H93" i="57"/>
  <c r="I93" i="57"/>
  <c r="I14" i="57" s="1"/>
  <c r="J93" i="57"/>
  <c r="K93" i="57"/>
  <c r="K14" i="57" s="1"/>
  <c r="L93" i="57"/>
  <c r="M93" i="57"/>
  <c r="M14" i="57" s="1"/>
  <c r="N93" i="57"/>
  <c r="N14" i="57" s="1"/>
  <c r="O93" i="57"/>
  <c r="O14" i="57" s="1"/>
  <c r="O114" i="57"/>
  <c r="O136" i="57" s="1"/>
  <c r="O15" i="57" s="1"/>
  <c r="W134" i="57"/>
  <c r="W135" i="57"/>
  <c r="D136" i="57"/>
  <c r="E136" i="57"/>
  <c r="E15" i="57" s="1"/>
  <c r="G136" i="57"/>
  <c r="G15" i="57" s="1"/>
  <c r="I136" i="57"/>
  <c r="I15" i="57" s="1"/>
  <c r="K136" i="57"/>
  <c r="K15" i="57" s="1"/>
  <c r="M136" i="57"/>
  <c r="M15" i="57" s="1"/>
  <c r="N136" i="57"/>
  <c r="N15" i="57" s="1"/>
  <c r="W138" i="57"/>
  <c r="W139" i="57" s="1"/>
  <c r="W16" i="57" s="1"/>
  <c r="E139" i="57"/>
  <c r="E16" i="57" s="1"/>
  <c r="G139" i="57"/>
  <c r="G16" i="57" s="1"/>
  <c r="I139" i="57"/>
  <c r="I16" i="57" s="1"/>
  <c r="K139" i="57"/>
  <c r="K16" i="57" s="1"/>
  <c r="M139" i="57"/>
  <c r="M16" i="57" s="1"/>
  <c r="N139" i="57"/>
  <c r="N16" i="57" s="1"/>
  <c r="O139" i="57"/>
  <c r="O16" i="57" s="1"/>
  <c r="R139" i="57"/>
  <c r="S139" i="57"/>
  <c r="S16" i="57" s="1"/>
  <c r="U139" i="57"/>
  <c r="U16" i="57" s="1"/>
  <c r="V139" i="57"/>
  <c r="W147" i="57"/>
  <c r="W25" i="57" s="1"/>
  <c r="W148" i="57"/>
  <c r="W149" i="57"/>
  <c r="W150" i="57"/>
  <c r="W151" i="57"/>
  <c r="W152" i="57"/>
  <c r="W153" i="57"/>
  <c r="W154" i="57"/>
  <c r="W155" i="57"/>
  <c r="W156" i="57"/>
  <c r="W157" i="57"/>
  <c r="W158" i="57"/>
  <c r="W159" i="57"/>
  <c r="W160" i="57"/>
  <c r="W161" i="57"/>
  <c r="W162" i="57"/>
  <c r="W163" i="57"/>
  <c r="W164" i="57"/>
  <c r="W165" i="57"/>
  <c r="W166" i="57"/>
  <c r="W167" i="57"/>
  <c r="W168" i="57"/>
  <c r="W169" i="57"/>
  <c r="W170" i="57"/>
  <c r="W171" i="57"/>
  <c r="W172" i="57"/>
  <c r="W173" i="57"/>
  <c r="W174" i="57"/>
  <c r="W175" i="57"/>
  <c r="W176" i="57"/>
  <c r="W177" i="57"/>
  <c r="W179" i="57"/>
  <c r="E182" i="57"/>
  <c r="G182" i="57"/>
  <c r="I182" i="57"/>
  <c r="K182" i="57"/>
  <c r="M182" i="57"/>
  <c r="N182" i="57"/>
  <c r="O182" i="57"/>
  <c r="R182" i="57"/>
  <c r="W185" i="57"/>
  <c r="W186" i="57"/>
  <c r="W187" i="57"/>
  <c r="W188" i="57"/>
  <c r="W189" i="57"/>
  <c r="W190" i="57"/>
  <c r="W191" i="57"/>
  <c r="W192" i="57"/>
  <c r="W193" i="57"/>
  <c r="W194" i="57"/>
  <c r="W195" i="57"/>
  <c r="W196" i="57"/>
  <c r="W197" i="57"/>
  <c r="W198" i="57"/>
  <c r="W199" i="57"/>
  <c r="W200" i="57"/>
  <c r="W201" i="57"/>
  <c r="W202" i="57"/>
  <c r="W203" i="57"/>
  <c r="W204" i="57"/>
  <c r="W205" i="57"/>
  <c r="E207" i="57"/>
  <c r="G207" i="57"/>
  <c r="I207" i="57"/>
  <c r="K207" i="57"/>
  <c r="M207" i="57"/>
  <c r="N207" i="57"/>
  <c r="O207" i="57"/>
  <c r="R207" i="57"/>
  <c r="V210" i="57"/>
  <c r="W210" i="57"/>
  <c r="M211" i="57"/>
  <c r="M212" i="57" s="1"/>
  <c r="V211" i="57"/>
  <c r="W211" i="57"/>
  <c r="E212" i="57"/>
  <c r="G212" i="57"/>
  <c r="I212" i="57"/>
  <c r="K212" i="57"/>
  <c r="N212" i="57"/>
  <c r="O212" i="57"/>
  <c r="P212" i="57"/>
  <c r="Q212" i="57"/>
  <c r="R212" i="57"/>
  <c r="S212" i="57"/>
  <c r="U212" i="57"/>
  <c r="V233" i="57"/>
  <c r="W233" i="57"/>
  <c r="V234" i="57"/>
  <c r="W234" i="57"/>
  <c r="V235" i="57"/>
  <c r="W235" i="57"/>
  <c r="E236" i="57"/>
  <c r="G236" i="57"/>
  <c r="I236" i="57"/>
  <c r="K236" i="57"/>
  <c r="M236" i="57"/>
  <c r="N236" i="57"/>
  <c r="O236" i="57"/>
  <c r="P236" i="57"/>
  <c r="Q236" i="57"/>
  <c r="R236" i="57"/>
  <c r="S236" i="57"/>
  <c r="U236" i="57"/>
  <c r="E551" i="57"/>
  <c r="G551" i="57"/>
  <c r="I551" i="57"/>
  <c r="K551" i="57"/>
  <c r="M551" i="57"/>
  <c r="N551" i="57"/>
  <c r="O551" i="57"/>
  <c r="P551" i="57"/>
  <c r="Q551" i="57"/>
  <c r="R551" i="57"/>
  <c r="S551" i="57"/>
  <c r="T551" i="57"/>
  <c r="U551" i="57"/>
  <c r="W239" i="57"/>
  <c r="W240" i="57"/>
  <c r="W241" i="57"/>
  <c r="W242" i="57"/>
  <c r="W243" i="57"/>
  <c r="W244" i="57"/>
  <c r="W245" i="57"/>
  <c r="W246" i="57"/>
  <c r="W247" i="57"/>
  <c r="W248" i="57"/>
  <c r="W249" i="57"/>
  <c r="W250" i="57"/>
  <c r="W251" i="57"/>
  <c r="W252" i="57"/>
  <c r="W253" i="57"/>
  <c r="W254" i="57"/>
  <c r="W255" i="57"/>
  <c r="W256" i="57"/>
  <c r="W257" i="57"/>
  <c r="W258" i="57"/>
  <c r="W259" i="57"/>
  <c r="W260" i="57"/>
  <c r="W261" i="57"/>
  <c r="W262" i="57"/>
  <c r="W263" i="57"/>
  <c r="W264" i="57"/>
  <c r="W265" i="57"/>
  <c r="W266" i="57"/>
  <c r="W267" i="57"/>
  <c r="W268" i="57"/>
  <c r="W269" i="57"/>
  <c r="W270" i="57"/>
  <c r="W271" i="57"/>
  <c r="W272" i="57"/>
  <c r="W273" i="57"/>
  <c r="W274" i="57"/>
  <c r="W275" i="57"/>
  <c r="W277" i="57"/>
  <c r="W278" i="57"/>
  <c r="W279" i="57"/>
  <c r="W280" i="57"/>
  <c r="W281" i="57"/>
  <c r="W282" i="57"/>
  <c r="W283" i="57"/>
  <c r="W284" i="57"/>
  <c r="W285" i="57"/>
  <c r="E287" i="57"/>
  <c r="G287" i="57"/>
  <c r="I287" i="57"/>
  <c r="K287" i="57"/>
  <c r="M287" i="57"/>
  <c r="N287" i="57"/>
  <c r="O287" i="57"/>
  <c r="R287" i="57"/>
  <c r="R290" i="57"/>
  <c r="S290" i="57"/>
  <c r="U290" i="57" s="1"/>
  <c r="R291" i="57"/>
  <c r="S291" i="57"/>
  <c r="U291" i="57" s="1"/>
  <c r="R292" i="57"/>
  <c r="S292" i="57"/>
  <c r="U292" i="57" s="1"/>
  <c r="R293" i="57"/>
  <c r="S293" i="57"/>
  <c r="U293" i="57" s="1"/>
  <c r="R294" i="57"/>
  <c r="S294" i="57"/>
  <c r="U294" i="57" s="1"/>
  <c r="R295" i="57"/>
  <c r="S295" i="57"/>
  <c r="U295" i="57" s="1"/>
  <c r="E299" i="57"/>
  <c r="G299" i="57"/>
  <c r="I299" i="57"/>
  <c r="K299" i="57"/>
  <c r="M299" i="57"/>
  <c r="N299" i="57"/>
  <c r="O299" i="57"/>
  <c r="P299" i="57"/>
  <c r="R302" i="57"/>
  <c r="S302" i="57"/>
  <c r="U302" i="57" s="1"/>
  <c r="R303" i="57"/>
  <c r="S303" i="57"/>
  <c r="U303" i="57" s="1"/>
  <c r="R304" i="57"/>
  <c r="S304" i="57"/>
  <c r="U304" i="57" s="1"/>
  <c r="R305" i="57"/>
  <c r="S305" i="57"/>
  <c r="U305" i="57" s="1"/>
  <c r="R306" i="57"/>
  <c r="S306" i="57"/>
  <c r="U306" i="57" s="1"/>
  <c r="R307" i="57"/>
  <c r="S307" i="57"/>
  <c r="U307" i="57" s="1"/>
  <c r="R308" i="57"/>
  <c r="S308" i="57"/>
  <c r="U308" i="57" s="1"/>
  <c r="R309" i="57"/>
  <c r="S309" i="57"/>
  <c r="U309" i="57" s="1"/>
  <c r="E310" i="57"/>
  <c r="G310" i="57"/>
  <c r="I310" i="57"/>
  <c r="K310" i="57"/>
  <c r="M310" i="57"/>
  <c r="N310" i="57"/>
  <c r="O310" i="57"/>
  <c r="P310" i="57"/>
  <c r="S310" i="57"/>
  <c r="U310" i="57" s="1"/>
  <c r="S314" i="57"/>
  <c r="E318" i="57"/>
  <c r="G318" i="57"/>
  <c r="I318" i="57"/>
  <c r="K318" i="57"/>
  <c r="M318" i="57"/>
  <c r="N318" i="57"/>
  <c r="O318" i="57"/>
  <c r="P318" i="57"/>
  <c r="R318" i="57"/>
  <c r="V321" i="57"/>
  <c r="W321" i="57"/>
  <c r="W322" i="57"/>
  <c r="W323" i="57"/>
  <c r="W324" i="57"/>
  <c r="W326" i="57"/>
  <c r="W328" i="57"/>
  <c r="W329" i="57"/>
  <c r="E330" i="57"/>
  <c r="G330" i="57"/>
  <c r="I330" i="57"/>
  <c r="K330" i="57"/>
  <c r="M330" i="57"/>
  <c r="N330" i="57"/>
  <c r="O330" i="57"/>
  <c r="P330" i="57"/>
  <c r="Q330" i="57"/>
  <c r="R330" i="57"/>
  <c r="S330" i="57"/>
  <c r="T330" i="57"/>
  <c r="U330" i="57"/>
  <c r="V370" i="57"/>
  <c r="W370" i="57"/>
  <c r="W371" i="57"/>
  <c r="W373" i="57"/>
  <c r="W374" i="57"/>
  <c r="W375" i="57"/>
  <c r="E376" i="57"/>
  <c r="G376" i="57"/>
  <c r="I376" i="57"/>
  <c r="K376" i="57"/>
  <c r="M376" i="57"/>
  <c r="N376" i="57"/>
  <c r="O376" i="57"/>
  <c r="P376" i="57"/>
  <c r="Q376" i="57"/>
  <c r="R376" i="57"/>
  <c r="S376" i="57"/>
  <c r="U376" i="57"/>
  <c r="V393" i="57"/>
  <c r="W393" i="57"/>
  <c r="E338" i="57"/>
  <c r="G338" i="57"/>
  <c r="I338" i="57"/>
  <c r="K338" i="57"/>
  <c r="M338" i="57"/>
  <c r="N338" i="57"/>
  <c r="O338" i="57"/>
  <c r="P338" i="57"/>
  <c r="Q338" i="57"/>
  <c r="R338" i="57"/>
  <c r="S338" i="57"/>
  <c r="U338" i="57"/>
  <c r="W394" i="57"/>
  <c r="W395" i="57"/>
  <c r="W396" i="57"/>
  <c r="W397" i="57"/>
  <c r="W399" i="57"/>
  <c r="W400" i="57"/>
  <c r="W401" i="57"/>
  <c r="W402" i="57"/>
  <c r="W403" i="57"/>
  <c r="W404" i="57"/>
  <c r="W405" i="57"/>
  <c r="W406" i="57"/>
  <c r="W407" i="57"/>
  <c r="W408" i="57"/>
  <c r="W409" i="57"/>
  <c r="W410" i="57"/>
  <c r="W412" i="57"/>
  <c r="W413" i="57"/>
  <c r="W414" i="57"/>
  <c r="W415" i="57"/>
  <c r="W416" i="57"/>
  <c r="W417" i="57"/>
  <c r="W418" i="57"/>
  <c r="W419" i="57"/>
  <c r="W420" i="57"/>
  <c r="W421" i="57"/>
  <c r="W422" i="57"/>
  <c r="E424" i="57"/>
  <c r="G424" i="57"/>
  <c r="I424" i="57"/>
  <c r="J424" i="57"/>
  <c r="K424" i="57"/>
  <c r="L424" i="57"/>
  <c r="M424" i="57"/>
  <c r="N424" i="57"/>
  <c r="O424" i="57"/>
  <c r="R424" i="57"/>
  <c r="T424" i="57"/>
  <c r="X424" i="57"/>
  <c r="E386" i="57"/>
  <c r="E22" i="57" s="1"/>
  <c r="G386" i="57"/>
  <c r="G22" i="57" s="1"/>
  <c r="I386" i="57"/>
  <c r="I22" i="57" s="1"/>
  <c r="J386" i="57"/>
  <c r="K386" i="57"/>
  <c r="K22" i="57" s="1"/>
  <c r="L386" i="57"/>
  <c r="M386" i="57"/>
  <c r="M22" i="57" s="1"/>
  <c r="N386" i="57"/>
  <c r="N22" i="57" s="1"/>
  <c r="O386" i="57"/>
  <c r="O22" i="57" s="1"/>
  <c r="P386" i="57"/>
  <c r="P22" i="57" s="1"/>
  <c r="Q386" i="57"/>
  <c r="Q22" i="57" s="1"/>
  <c r="R386" i="57"/>
  <c r="R22" i="57" s="1"/>
  <c r="S386" i="57"/>
  <c r="S22" i="57" s="1"/>
  <c r="U386" i="57"/>
  <c r="U22" i="57" s="1"/>
  <c r="E367" i="57"/>
  <c r="E23" i="57" s="1"/>
  <c r="G367" i="57"/>
  <c r="G23" i="57" s="1"/>
  <c r="I367" i="57"/>
  <c r="I23" i="57" s="1"/>
  <c r="K367" i="57"/>
  <c r="K23" i="57" s="1"/>
  <c r="M367" i="57"/>
  <c r="M23" i="57" s="1"/>
  <c r="N367" i="57"/>
  <c r="O367" i="57"/>
  <c r="R367" i="57"/>
  <c r="T367" i="57"/>
  <c r="W427" i="57"/>
  <c r="W428" i="57"/>
  <c r="W429" i="57"/>
  <c r="W430" i="57"/>
  <c r="W431" i="57"/>
  <c r="W432" i="57"/>
  <c r="W433" i="57"/>
  <c r="W434" i="57"/>
  <c r="W435" i="57"/>
  <c r="W436" i="57"/>
  <c r="W437" i="57"/>
  <c r="W438" i="57"/>
  <c r="W439" i="57"/>
  <c r="W440" i="57"/>
  <c r="W441" i="57"/>
  <c r="W442" i="57"/>
  <c r="W443" i="57"/>
  <c r="W444" i="57"/>
  <c r="W445" i="57"/>
  <c r="W446" i="57"/>
  <c r="W448" i="57"/>
  <c r="W449" i="57"/>
  <c r="W450" i="57"/>
  <c r="W451" i="57"/>
  <c r="W452" i="57"/>
  <c r="W454" i="57"/>
  <c r="W455" i="57"/>
  <c r="W456" i="57"/>
  <c r="W457" i="57"/>
  <c r="W458" i="57"/>
  <c r="W459" i="57"/>
  <c r="W460" i="57"/>
  <c r="W461" i="57"/>
  <c r="W463" i="57"/>
  <c r="W464" i="57"/>
  <c r="W466" i="57"/>
  <c r="W467" i="57"/>
  <c r="W468" i="57"/>
  <c r="W469" i="57"/>
  <c r="W470" i="57"/>
  <c r="W472" i="57"/>
  <c r="E473" i="57"/>
  <c r="G473" i="57"/>
  <c r="I473" i="57"/>
  <c r="K473" i="57"/>
  <c r="M473" i="57"/>
  <c r="N473" i="57"/>
  <c r="O473" i="57"/>
  <c r="P473" i="57"/>
  <c r="Q473" i="57"/>
  <c r="R473" i="57"/>
  <c r="S473" i="57"/>
  <c r="W476" i="57"/>
  <c r="W477" i="57"/>
  <c r="W478" i="57"/>
  <c r="W479" i="57"/>
  <c r="W480" i="57"/>
  <c r="W481" i="57"/>
  <c r="W482" i="57"/>
  <c r="W483" i="57"/>
  <c r="W484" i="57"/>
  <c r="W485" i="57"/>
  <c r="W486" i="57"/>
  <c r="W487" i="57"/>
  <c r="W488" i="57"/>
  <c r="W489" i="57"/>
  <c r="W490" i="57"/>
  <c r="W491" i="57"/>
  <c r="W492" i="57"/>
  <c r="W493" i="57"/>
  <c r="W494" i="57"/>
  <c r="W495" i="57"/>
  <c r="W496" i="57"/>
  <c r="W497" i="57"/>
  <c r="W498" i="57"/>
  <c r="W499" i="57"/>
  <c r="W501" i="57"/>
  <c r="E502" i="57"/>
  <c r="G502" i="57"/>
  <c r="I502" i="57"/>
  <c r="K502" i="57"/>
  <c r="M502" i="57"/>
  <c r="N502" i="57"/>
  <c r="O502" i="57"/>
  <c r="P502" i="57"/>
  <c r="Q502" i="57"/>
  <c r="V502" i="57" s="1"/>
  <c r="R502" i="57"/>
  <c r="S502" i="57"/>
  <c r="T502" i="57"/>
  <c r="W505" i="57"/>
  <c r="W506" i="57"/>
  <c r="W507" i="57"/>
  <c r="W508" i="57"/>
  <c r="W509" i="57"/>
  <c r="W510" i="57"/>
  <c r="W511" i="57"/>
  <c r="W512" i="57"/>
  <c r="W513" i="57"/>
  <c r="W514" i="57"/>
  <c r="W515" i="57"/>
  <c r="W516" i="57"/>
  <c r="W517" i="57"/>
  <c r="W518" i="57"/>
  <c r="W519" i="57"/>
  <c r="W520" i="57"/>
  <c r="W521" i="57"/>
  <c r="W522" i="57"/>
  <c r="E523" i="57"/>
  <c r="G523" i="57"/>
  <c r="I523" i="57"/>
  <c r="K523" i="57"/>
  <c r="M523" i="57"/>
  <c r="N523" i="57"/>
  <c r="O523" i="57"/>
  <c r="P523" i="57"/>
  <c r="Q523" i="57"/>
  <c r="R523" i="57"/>
  <c r="S523" i="57"/>
  <c r="T523" i="57"/>
  <c r="W526" i="57"/>
  <c r="W532" i="57"/>
  <c r="W534" i="57"/>
  <c r="W535" i="57"/>
  <c r="E543" i="57"/>
  <c r="G543" i="57"/>
  <c r="I543" i="57"/>
  <c r="K543" i="57"/>
  <c r="M543" i="57"/>
  <c r="N543" i="57"/>
  <c r="O543" i="57"/>
  <c r="P543" i="57"/>
  <c r="Q543" i="57"/>
  <c r="R543" i="57"/>
  <c r="S543" i="57"/>
  <c r="T543" i="57"/>
  <c r="W540" i="57"/>
  <c r="W541" i="57"/>
  <c r="W542" i="57"/>
  <c r="E392" i="57"/>
  <c r="G392" i="57"/>
  <c r="I392" i="57"/>
  <c r="K392" i="57"/>
  <c r="M392" i="57"/>
  <c r="N392" i="57"/>
  <c r="O392" i="57"/>
  <c r="P392" i="57"/>
  <c r="Q392" i="57"/>
  <c r="R392" i="57"/>
  <c r="S392" i="57"/>
  <c r="T392" i="57"/>
  <c r="U392" i="57"/>
  <c r="V554" i="57"/>
  <c r="E555" i="57"/>
  <c r="G555" i="57"/>
  <c r="I555" i="57"/>
  <c r="K555" i="57"/>
  <c r="M555" i="57"/>
  <c r="N555" i="57"/>
  <c r="O555" i="57"/>
  <c r="P555" i="57"/>
  <c r="Q555" i="57"/>
  <c r="R555" i="57"/>
  <c r="S555" i="57"/>
  <c r="U555" i="57"/>
  <c r="W553" i="57"/>
  <c r="W554" i="57"/>
  <c r="W555" i="57"/>
  <c r="E230" i="57"/>
  <c r="G230" i="57"/>
  <c r="I230" i="57"/>
  <c r="K230" i="57"/>
  <c r="M230" i="57"/>
  <c r="N230" i="57"/>
  <c r="O230" i="57"/>
  <c r="P230" i="57"/>
  <c r="Q230" i="57"/>
  <c r="R230" i="57"/>
  <c r="S230" i="57"/>
  <c r="T230" i="57"/>
  <c r="W567" i="57"/>
  <c r="W568" i="57"/>
  <c r="E577" i="57"/>
  <c r="G577" i="57"/>
  <c r="I577" i="57"/>
  <c r="K577" i="57"/>
  <c r="M577" i="57"/>
  <c r="N577" i="57"/>
  <c r="O577" i="57"/>
  <c r="Q577" i="57"/>
  <c r="R577" i="57"/>
  <c r="S577" i="57"/>
  <c r="W575" i="57"/>
  <c r="W582" i="57"/>
  <c r="W583" i="57"/>
  <c r="E591" i="57"/>
  <c r="G591" i="57"/>
  <c r="I591" i="57"/>
  <c r="K591" i="57"/>
  <c r="M591" i="57"/>
  <c r="N591" i="57"/>
  <c r="O591" i="57"/>
  <c r="P591" i="57"/>
  <c r="Q591" i="57"/>
  <c r="R591" i="57"/>
  <c r="S591" i="57"/>
  <c r="W588" i="57"/>
  <c r="E559" i="57"/>
  <c r="G559" i="57"/>
  <c r="I559" i="57"/>
  <c r="K559" i="57"/>
  <c r="M559" i="57"/>
  <c r="N559" i="57"/>
  <c r="O559" i="57"/>
  <c r="P559" i="57"/>
  <c r="Q559" i="57"/>
  <c r="R559" i="57"/>
  <c r="S559" i="57"/>
  <c r="U559" i="57"/>
  <c r="V33" i="57"/>
  <c r="Z67" i="63"/>
  <c r="AA206" i="63"/>
  <c r="AA62" i="63"/>
  <c r="AA207" i="63"/>
  <c r="AA127" i="63"/>
  <c r="AA202" i="63"/>
  <c r="Q18" i="76"/>
  <c r="AA71" i="63"/>
  <c r="Z71" i="63"/>
  <c r="AA171" i="63"/>
  <c r="Q25" i="76"/>
  <c r="Q22" i="76"/>
  <c r="Q26" i="76"/>
  <c r="AA208" i="63"/>
  <c r="AA205" i="63"/>
  <c r="AA209" i="63"/>
  <c r="AA167" i="63"/>
  <c r="Z165" i="63"/>
  <c r="AA165" i="63"/>
  <c r="AA170" i="63"/>
  <c r="AA204" i="63"/>
  <c r="Z164" i="63"/>
  <c r="AA164" i="63"/>
  <c r="AA173" i="63"/>
  <c r="AA174" i="63"/>
  <c r="AA169" i="63"/>
  <c r="Q21" i="76"/>
  <c r="K107" i="89"/>
  <c r="L107" i="89" s="1"/>
  <c r="S107" i="89" s="1"/>
  <c r="K120" i="89"/>
  <c r="J127" i="89"/>
  <c r="J146" i="89"/>
  <c r="K145" i="89"/>
  <c r="L145" i="89" s="1"/>
  <c r="K102" i="89"/>
  <c r="L102" i="89"/>
  <c r="S102" i="89" s="1"/>
  <c r="T102" i="89" s="1"/>
  <c r="K118" i="89"/>
  <c r="L80" i="89"/>
  <c r="Q80" i="89"/>
  <c r="K33" i="89"/>
  <c r="L33" i="89" s="1"/>
  <c r="S33" i="89" s="1"/>
  <c r="K39" i="89"/>
  <c r="L39" i="89"/>
  <c r="S39" i="89" s="1"/>
  <c r="J78" i="89"/>
  <c r="K76" i="89"/>
  <c r="Z65" i="89"/>
  <c r="T25" i="89"/>
  <c r="U25" i="89"/>
  <c r="V25" i="89"/>
  <c r="L61" i="89"/>
  <c r="J20" i="89"/>
  <c r="K18" i="89"/>
  <c r="J65" i="89"/>
  <c r="J57" i="89"/>
  <c r="J52" i="89"/>
  <c r="Z20" i="89"/>
  <c r="K12" i="89"/>
  <c r="L12" i="89" s="1"/>
  <c r="S12" i="89" s="1"/>
  <c r="J81" i="89"/>
  <c r="J61" i="89"/>
  <c r="L50" i="89"/>
  <c r="S50" i="89" s="1"/>
  <c r="L109" i="89"/>
  <c r="S109" i="89" s="1"/>
  <c r="J71" i="89"/>
  <c r="L13" i="89"/>
  <c r="S13" i="89" s="1"/>
  <c r="L118" i="89"/>
  <c r="O9" i="58"/>
  <c r="AA203" i="63"/>
  <c r="AA175" i="63"/>
  <c r="AA166" i="63"/>
  <c r="Z63" i="63"/>
  <c r="Z66" i="63"/>
  <c r="AA63" i="63"/>
  <c r="Z61" i="63"/>
  <c r="AA61" i="63"/>
  <c r="Z69" i="63"/>
  <c r="Z60" i="63"/>
  <c r="AA60" i="63"/>
  <c r="AA69" i="63"/>
  <c r="AA64" i="63"/>
  <c r="Z64" i="63"/>
  <c r="AA65" i="63"/>
  <c r="Z65" i="63"/>
  <c r="AA70" i="63"/>
  <c r="Z70" i="63"/>
  <c r="K9" i="89"/>
  <c r="L9" i="89" s="1"/>
  <c r="S9" i="89" s="1"/>
  <c r="X14" i="89"/>
  <c r="K38" i="89"/>
  <c r="L38" i="89"/>
  <c r="S38" i="89" s="1"/>
  <c r="W122" i="89"/>
  <c r="X122" i="89"/>
  <c r="K106" i="89"/>
  <c r="L106" i="89" s="1"/>
  <c r="S106" i="89" s="1"/>
  <c r="Z110" i="89"/>
  <c r="K45" i="89"/>
  <c r="L45" i="89" s="1"/>
  <c r="S45" i="89" s="1"/>
  <c r="W198" i="89"/>
  <c r="M47" i="89"/>
  <c r="Z122" i="89"/>
  <c r="Z130" i="89" s="1"/>
  <c r="Z57" i="89"/>
  <c r="K32" i="89"/>
  <c r="L32" i="89" s="1"/>
  <c r="S32" i="89" s="1"/>
  <c r="L41" i="89"/>
  <c r="S41" i="89" s="1"/>
  <c r="V186" i="57"/>
  <c r="Y29" i="89"/>
  <c r="T29" i="89"/>
  <c r="Q130" i="89"/>
  <c r="O124" i="89"/>
  <c r="O130" i="89"/>
  <c r="Z78" i="89"/>
  <c r="K108" i="89"/>
  <c r="L108" i="89"/>
  <c r="S108" i="89" s="1"/>
  <c r="L160" i="89"/>
  <c r="L161" i="89" s="1"/>
  <c r="L165" i="89" s="1"/>
  <c r="J161" i="89"/>
  <c r="J165" i="89" s="1"/>
  <c r="K28" i="89"/>
  <c r="L28" i="89"/>
  <c r="S28" i="89" s="1"/>
  <c r="T77" i="89"/>
  <c r="V77" i="89"/>
  <c r="Y77" i="89"/>
  <c r="U77" i="89"/>
  <c r="L120" i="89"/>
  <c r="S120" i="89" s="1"/>
  <c r="P124" i="89"/>
  <c r="Q12" i="57"/>
  <c r="S145" i="89"/>
  <c r="L146" i="89"/>
  <c r="K101" i="89"/>
  <c r="L101" i="89" s="1"/>
  <c r="J110" i="89"/>
  <c r="N130" i="89"/>
  <c r="K36" i="89"/>
  <c r="L36" i="89" s="1"/>
  <c r="S36" i="89" s="1"/>
  <c r="U43" i="89"/>
  <c r="V43" i="89"/>
  <c r="Z14" i="89"/>
  <c r="L105" i="89"/>
  <c r="S105" i="89" s="1"/>
  <c r="U105" i="89" s="1"/>
  <c r="W57" i="89"/>
  <c r="O87" i="89"/>
  <c r="K100" i="89"/>
  <c r="L100" i="89" s="1"/>
  <c r="S100" i="89" s="1"/>
  <c r="U100" i="89" s="1"/>
  <c r="W47" i="89"/>
  <c r="W14" i="89"/>
  <c r="J74" i="89"/>
  <c r="L81" i="89"/>
  <c r="J14" i="89"/>
  <c r="K7" i="89"/>
  <c r="L7" i="89"/>
  <c r="S7" i="89" s="1"/>
  <c r="V7" i="89" s="1"/>
  <c r="V29" i="89"/>
  <c r="U29" i="89"/>
  <c r="V102" i="89"/>
  <c r="U102" i="89"/>
  <c r="AA168" i="63"/>
  <c r="L52" i="89"/>
  <c r="Y43" i="89"/>
  <c r="T43" i="89"/>
  <c r="M10" i="57"/>
  <c r="I42" i="76"/>
  <c r="L104" i="89"/>
  <c r="S104" i="89" s="1"/>
  <c r="X65" i="89"/>
  <c r="W110" i="89"/>
  <c r="W124" i="89" s="1"/>
  <c r="O18" i="60"/>
  <c r="V581" i="57"/>
  <c r="AA126" i="63"/>
  <c r="AA128" i="63"/>
  <c r="V148" i="57"/>
  <c r="V562" i="57"/>
  <c r="Y145" i="89"/>
  <c r="Y146" i="89" s="1"/>
  <c r="V145" i="89"/>
  <c r="V146" i="89" s="1"/>
  <c r="U145" i="89"/>
  <c r="U146" i="89" s="1"/>
  <c r="Y100" i="89"/>
  <c r="U7" i="89"/>
  <c r="O133" i="89"/>
  <c r="O150" i="89"/>
  <c r="AA133" i="63"/>
  <c r="T100" i="89"/>
  <c r="T107" i="89"/>
  <c r="U107" i="89"/>
  <c r="V107" i="89"/>
  <c r="Y107" i="89"/>
  <c r="V100" i="89"/>
  <c r="K78" i="89"/>
  <c r="L76" i="89"/>
  <c r="S160" i="89"/>
  <c r="T160" i="89" s="1"/>
  <c r="T161" i="89" s="1"/>
  <c r="T165" i="89" s="1"/>
  <c r="L18" i="89"/>
  <c r="S18" i="89" s="1"/>
  <c r="K31" i="89"/>
  <c r="L31" i="89" s="1"/>
  <c r="S31" i="89" s="1"/>
  <c r="J47" i="89"/>
  <c r="K22" i="89"/>
  <c r="S80" i="89"/>
  <c r="U80" i="89" s="1"/>
  <c r="U81" i="89" s="1"/>
  <c r="Q81" i="89"/>
  <c r="Q87" i="89" s="1"/>
  <c r="Q150" i="89" s="1"/>
  <c r="K126" i="89"/>
  <c r="K127" i="89" s="1"/>
  <c r="K67" i="89"/>
  <c r="L67" i="89" s="1"/>
  <c r="S67" i="89" s="1"/>
  <c r="K97" i="89"/>
  <c r="L99" i="89"/>
  <c r="S99" i="89" s="1"/>
  <c r="J42" i="76"/>
  <c r="D43" i="76"/>
  <c r="K112" i="89"/>
  <c r="L112" i="89" s="1"/>
  <c r="S112" i="89" s="1"/>
  <c r="N42" i="76"/>
  <c r="Z71" i="89"/>
  <c r="P87" i="89"/>
  <c r="P150" i="89" s="1"/>
  <c r="K35" i="89"/>
  <c r="L35" i="89" s="1"/>
  <c r="S35" i="89" s="1"/>
  <c r="S76" i="89"/>
  <c r="S78" i="89" s="1"/>
  <c r="L78" i="89"/>
  <c r="L22" i="89"/>
  <c r="S22" i="89" s="1"/>
  <c r="AA129" i="63"/>
  <c r="Y80" i="89"/>
  <c r="Y81" i="89"/>
  <c r="L97" i="89"/>
  <c r="S97" i="89" s="1"/>
  <c r="V97" i="89" s="1"/>
  <c r="P133" i="89"/>
  <c r="V476" i="57"/>
  <c r="V22" i="89" l="1"/>
  <c r="U22" i="89"/>
  <c r="Y22" i="89"/>
  <c r="U41" i="89"/>
  <c r="Y41" i="89"/>
  <c r="T41" i="89"/>
  <c r="V41" i="89"/>
  <c r="T63" i="89"/>
  <c r="V63" i="89"/>
  <c r="T27" i="89"/>
  <c r="V27" i="89"/>
  <c r="U27" i="89"/>
  <c r="Y27" i="89"/>
  <c r="L17" i="89"/>
  <c r="K20" i="89"/>
  <c r="S101" i="89"/>
  <c r="L208" i="89"/>
  <c r="K74" i="89"/>
  <c r="L73" i="89"/>
  <c r="V19" i="89"/>
  <c r="U19" i="89"/>
  <c r="T19" i="89"/>
  <c r="Y19" i="89"/>
  <c r="T11" i="89"/>
  <c r="U11" i="89"/>
  <c r="V11" i="89"/>
  <c r="Y11" i="89"/>
  <c r="V18" i="89"/>
  <c r="U18" i="89"/>
  <c r="U70" i="89"/>
  <c r="T70" i="89"/>
  <c r="Y70" i="89"/>
  <c r="V70" i="89"/>
  <c r="K14" i="89"/>
  <c r="L8" i="89"/>
  <c r="S8" i="89" s="1"/>
  <c r="T80" i="89"/>
  <c r="T81" i="89" s="1"/>
  <c r="S52" i="89"/>
  <c r="K146" i="89"/>
  <c r="W20" i="89"/>
  <c r="R44" i="63"/>
  <c r="K110" i="89"/>
  <c r="Q124" i="89"/>
  <c r="X198" i="89"/>
  <c r="X57" i="89"/>
  <c r="M87" i="89"/>
  <c r="L10" i="89"/>
  <c r="S10" i="89" s="1"/>
  <c r="S81" i="89"/>
  <c r="K84" i="89"/>
  <c r="K57" i="89"/>
  <c r="O8" i="88"/>
  <c r="O9" i="88" s="1"/>
  <c r="O14" i="88" s="1"/>
  <c r="L14" i="88"/>
  <c r="AA199" i="63"/>
  <c r="AA123" i="63"/>
  <c r="M8" i="58"/>
  <c r="M9" i="58" s="1"/>
  <c r="M14" i="58" s="1"/>
  <c r="L8" i="58"/>
  <c r="L9" i="58" s="1"/>
  <c r="L14" i="58" s="1"/>
  <c r="K8" i="58"/>
  <c r="K9" i="58" s="1"/>
  <c r="K14" i="58" s="1"/>
  <c r="J8" i="58"/>
  <c r="J9" i="58" s="1"/>
  <c r="J14" i="58" s="1"/>
  <c r="L54" i="60"/>
  <c r="O14" i="58"/>
  <c r="H42" i="76"/>
  <c r="Y108" i="89"/>
  <c r="U108" i="89"/>
  <c r="V108" i="89"/>
  <c r="T108" i="89"/>
  <c r="T45" i="89"/>
  <c r="U45" i="89"/>
  <c r="V45" i="89"/>
  <c r="Y45" i="89"/>
  <c r="U9" i="89"/>
  <c r="Y9" i="89"/>
  <c r="U10" i="89"/>
  <c r="T10" i="89"/>
  <c r="Y10" i="89"/>
  <c r="V10" i="89"/>
  <c r="U67" i="89"/>
  <c r="Y67" i="89"/>
  <c r="U112" i="89"/>
  <c r="V112" i="89"/>
  <c r="U36" i="89"/>
  <c r="Y36" i="89"/>
  <c r="V36" i="89"/>
  <c r="T36" i="89"/>
  <c r="U32" i="89"/>
  <c r="Y32" i="89"/>
  <c r="T32" i="89"/>
  <c r="V32" i="89"/>
  <c r="U106" i="89"/>
  <c r="V106" i="89"/>
  <c r="Y106" i="89"/>
  <c r="T106" i="89"/>
  <c r="T46" i="89"/>
  <c r="Y46" i="89"/>
  <c r="V46" i="89"/>
  <c r="U46" i="89"/>
  <c r="S23" i="89"/>
  <c r="Y103" i="89"/>
  <c r="U103" i="89"/>
  <c r="V103" i="89"/>
  <c r="T103" i="89"/>
  <c r="Y35" i="89"/>
  <c r="T35" i="89"/>
  <c r="U35" i="89"/>
  <c r="V35" i="89"/>
  <c r="AA132" i="63"/>
  <c r="AA143" i="63" s="1"/>
  <c r="U28" i="89"/>
  <c r="Y28" i="89"/>
  <c r="V28" i="89"/>
  <c r="T28" i="89"/>
  <c r="U8" i="89"/>
  <c r="V8" i="89"/>
  <c r="U31" i="89"/>
  <c r="T31" i="89"/>
  <c r="Y31" i="89"/>
  <c r="V31" i="89"/>
  <c r="Y120" i="89"/>
  <c r="T120" i="89"/>
  <c r="U120" i="89"/>
  <c r="V120" i="89"/>
  <c r="Y115" i="89"/>
  <c r="V115" i="89"/>
  <c r="T115" i="89"/>
  <c r="U115" i="89"/>
  <c r="U33" i="89"/>
  <c r="Y33" i="89"/>
  <c r="V33" i="89"/>
  <c r="I14" i="58"/>
  <c r="V34" i="89"/>
  <c r="U34" i="89"/>
  <c r="Y34" i="89"/>
  <c r="T34" i="89"/>
  <c r="L30" i="89"/>
  <c r="S30" i="89" s="1"/>
  <c r="U30" i="89" s="1"/>
  <c r="K47" i="89"/>
  <c r="U24" i="89"/>
  <c r="T24" i="89"/>
  <c r="Y24" i="89"/>
  <c r="V24" i="89"/>
  <c r="V114" i="89"/>
  <c r="Y114" i="89"/>
  <c r="U114" i="89"/>
  <c r="T12" i="89"/>
  <c r="Y12" i="89"/>
  <c r="U12" i="89"/>
  <c r="V12" i="89"/>
  <c r="L65" i="89"/>
  <c r="S64" i="89"/>
  <c r="Y26" i="89"/>
  <c r="T26" i="89"/>
  <c r="V26" i="89"/>
  <c r="U26" i="89"/>
  <c r="V185" i="57"/>
  <c r="Y99" i="89"/>
  <c r="U99" i="89"/>
  <c r="Y104" i="89"/>
  <c r="T104" i="89"/>
  <c r="U104" i="89"/>
  <c r="V104" i="89"/>
  <c r="Y55" i="89"/>
  <c r="U55" i="89"/>
  <c r="T55" i="89"/>
  <c r="G14" i="58"/>
  <c r="U42" i="89"/>
  <c r="V42" i="89"/>
  <c r="Y42" i="89"/>
  <c r="T42" i="89"/>
  <c r="Y160" i="89"/>
  <c r="Y161" i="89" s="1"/>
  <c r="Y165" i="89" s="1"/>
  <c r="L126" i="89"/>
  <c r="S126" i="89" s="1"/>
  <c r="Y102" i="89"/>
  <c r="Y63" i="89"/>
  <c r="E14" i="58"/>
  <c r="L68" i="89"/>
  <c r="S68" i="89" s="1"/>
  <c r="U63" i="89"/>
  <c r="F55" i="60"/>
  <c r="G42" i="76"/>
  <c r="L40" i="89"/>
  <c r="S40" i="89" s="1"/>
  <c r="L14" i="89"/>
  <c r="E43" i="76"/>
  <c r="L110" i="89"/>
  <c r="K71" i="89"/>
  <c r="X71" i="89"/>
  <c r="E14" i="88"/>
  <c r="S98" i="89"/>
  <c r="P23" i="57"/>
  <c r="M47" i="63"/>
  <c r="P49" i="63"/>
  <c r="I49" i="63"/>
  <c r="U51" i="63"/>
  <c r="K48" i="63"/>
  <c r="M48" i="63"/>
  <c r="N51" i="63"/>
  <c r="AA218" i="63"/>
  <c r="AA219" i="63" s="1"/>
  <c r="M49" i="63"/>
  <c r="I51" i="63"/>
  <c r="N47" i="63"/>
  <c r="N49" i="63"/>
  <c r="P47" i="63"/>
  <c r="M254" i="63"/>
  <c r="Z97" i="63"/>
  <c r="E256" i="63"/>
  <c r="E258" i="63" s="1"/>
  <c r="E289" i="63" s="1"/>
  <c r="AA149" i="63"/>
  <c r="I47" i="63"/>
  <c r="K52" i="63"/>
  <c r="Z53" i="63"/>
  <c r="N287" i="63"/>
  <c r="P287" i="63"/>
  <c r="K51" i="63"/>
  <c r="P254" i="63"/>
  <c r="M287" i="63"/>
  <c r="Y44" i="63"/>
  <c r="P52" i="63"/>
  <c r="AA53" i="63"/>
  <c r="V80" i="57"/>
  <c r="M21" i="57"/>
  <c r="E20" i="57"/>
  <c r="Q23" i="57"/>
  <c r="O21" i="57"/>
  <c r="I19" i="57"/>
  <c r="K19" i="57"/>
  <c r="I24" i="57"/>
  <c r="E19" i="57"/>
  <c r="N141" i="57"/>
  <c r="I141" i="57"/>
  <c r="K24" i="57"/>
  <c r="M19" i="57"/>
  <c r="I21" i="57"/>
  <c r="K21" i="57"/>
  <c r="V9" i="57"/>
  <c r="N24" i="57"/>
  <c r="E21" i="57"/>
  <c r="R20" i="57"/>
  <c r="W236" i="57"/>
  <c r="O24" i="57"/>
  <c r="Q24" i="57"/>
  <c r="N23" i="57"/>
  <c r="G17" i="57"/>
  <c r="S24" i="57"/>
  <c r="P21" i="57"/>
  <c r="G19" i="57"/>
  <c r="P24" i="57"/>
  <c r="S23" i="57"/>
  <c r="N21" i="57"/>
  <c r="G20" i="57"/>
  <c r="W212" i="57"/>
  <c r="O19" i="57"/>
  <c r="W76" i="57"/>
  <c r="W12" i="57" s="1"/>
  <c r="V12" i="57"/>
  <c r="H14" i="88"/>
  <c r="I14" i="88"/>
  <c r="H14" i="58"/>
  <c r="F14" i="58"/>
  <c r="I53" i="63"/>
  <c r="K287" i="63"/>
  <c r="AA251" i="63"/>
  <c r="M52" i="63"/>
  <c r="P51" i="63"/>
  <c r="V51" i="63"/>
  <c r="M51" i="63"/>
  <c r="I254" i="63"/>
  <c r="K49" i="63"/>
  <c r="I48" i="63"/>
  <c r="P48" i="63"/>
  <c r="M44" i="63"/>
  <c r="N44" i="63"/>
  <c r="N17" i="57"/>
  <c r="E17" i="57"/>
  <c r="K17" i="57"/>
  <c r="Y52" i="63"/>
  <c r="Z158" i="63"/>
  <c r="V555" i="57"/>
  <c r="V376" i="57"/>
  <c r="V330" i="57"/>
  <c r="V37" i="57"/>
  <c r="Z276" i="63"/>
  <c r="Y287" i="63"/>
  <c r="AA176" i="63"/>
  <c r="K44" i="63"/>
  <c r="K14" i="88"/>
  <c r="J14" i="88"/>
  <c r="M14" i="88"/>
  <c r="Q39" i="76"/>
  <c r="V8" i="57"/>
  <c r="Y48" i="63"/>
  <c r="E55" i="60"/>
  <c r="O13" i="60"/>
  <c r="AA285" i="63"/>
  <c r="V48" i="63"/>
  <c r="Z187" i="63"/>
  <c r="T48" i="63"/>
  <c r="Z219" i="63"/>
  <c r="Y51" i="63"/>
  <c r="T51" i="63"/>
  <c r="AA241" i="63"/>
  <c r="R50" i="63"/>
  <c r="V254" i="63"/>
  <c r="V50" i="63"/>
  <c r="Z176" i="63"/>
  <c r="T254" i="63"/>
  <c r="AA158" i="63"/>
  <c r="R52" i="63"/>
  <c r="V52" i="63"/>
  <c r="Z149" i="63"/>
  <c r="T49" i="63"/>
  <c r="Z123" i="63"/>
  <c r="Y49" i="63"/>
  <c r="R49" i="63"/>
  <c r="AA109" i="63"/>
  <c r="V47" i="63"/>
  <c r="AA97" i="63"/>
  <c r="AA72" i="63"/>
  <c r="L42" i="76"/>
  <c r="Q13" i="76"/>
  <c r="M42" i="76"/>
  <c r="O42" i="76"/>
  <c r="W584" i="57"/>
  <c r="W569" i="57"/>
  <c r="W536" i="57"/>
  <c r="W502" i="57"/>
  <c r="W473" i="57"/>
  <c r="G24" i="57"/>
  <c r="R310" i="57"/>
  <c r="W23" i="57"/>
  <c r="W59" i="57"/>
  <c r="W11" i="57" s="1"/>
  <c r="S299" i="57"/>
  <c r="W543" i="57"/>
  <c r="S21" i="57"/>
  <c r="W330" i="57"/>
  <c r="W93" i="57"/>
  <c r="W14" i="57" s="1"/>
  <c r="W287" i="57"/>
  <c r="P20" i="57"/>
  <c r="V236" i="57"/>
  <c r="W207" i="57"/>
  <c r="O141" i="57"/>
  <c r="I17" i="57"/>
  <c r="E141" i="57"/>
  <c r="M141" i="57"/>
  <c r="K141" i="57"/>
  <c r="O17" i="57"/>
  <c r="M17" i="57"/>
  <c r="V47" i="57"/>
  <c r="V13" i="57"/>
  <c r="V76" i="57"/>
  <c r="V11" i="57"/>
  <c r="V14" i="57"/>
  <c r="V93" i="57"/>
  <c r="S141" i="57"/>
  <c r="V40" i="57"/>
  <c r="V136" i="57"/>
  <c r="U15" i="57"/>
  <c r="W136" i="57"/>
  <c r="W15" i="57" s="1"/>
  <c r="W37" i="57"/>
  <c r="W8" i="57" s="1"/>
  <c r="R287" i="63"/>
  <c r="U287" i="63"/>
  <c r="V287" i="63"/>
  <c r="U52" i="63"/>
  <c r="R51" i="63"/>
  <c r="Z241" i="63"/>
  <c r="Y254" i="63"/>
  <c r="Z199" i="63"/>
  <c r="T52" i="63"/>
  <c r="T47" i="63"/>
  <c r="Z109" i="63"/>
  <c r="R48" i="63"/>
  <c r="U44" i="63"/>
  <c r="V44" i="63"/>
  <c r="T44" i="63"/>
  <c r="Z26" i="63"/>
  <c r="Z18" i="63"/>
  <c r="W589" i="57"/>
  <c r="R23" i="57"/>
  <c r="W22" i="57"/>
  <c r="V22" i="57"/>
  <c r="W424" i="57"/>
  <c r="Q21" i="57"/>
  <c r="R21" i="57"/>
  <c r="S20" i="57"/>
  <c r="P19" i="57"/>
  <c r="P594" i="57"/>
  <c r="S19" i="57"/>
  <c r="Q19" i="57"/>
  <c r="V212" i="57"/>
  <c r="W182" i="57"/>
  <c r="Q141" i="57"/>
  <c r="P141" i="57"/>
  <c r="Q17" i="57"/>
  <c r="V59" i="57"/>
  <c r="U141" i="57"/>
  <c r="P17" i="57"/>
  <c r="T17" i="57"/>
  <c r="T27" i="57" s="1"/>
  <c r="V580" i="57"/>
  <c r="Y47" i="63"/>
  <c r="Y38" i="89"/>
  <c r="T38" i="89"/>
  <c r="U38" i="89"/>
  <c r="V38" i="89"/>
  <c r="Y97" i="89"/>
  <c r="T67" i="89"/>
  <c r="L71" i="89"/>
  <c r="V577" i="57"/>
  <c r="Z72" i="63"/>
  <c r="W376" i="57"/>
  <c r="Q594" i="57"/>
  <c r="M594" i="57"/>
  <c r="I594" i="57"/>
  <c r="I20" i="57"/>
  <c r="R19" i="57"/>
  <c r="N19" i="57"/>
  <c r="N594" i="57"/>
  <c r="R16" i="57"/>
  <c r="R17" i="57" s="1"/>
  <c r="R141" i="57"/>
  <c r="AA26" i="63"/>
  <c r="M122" i="89"/>
  <c r="S118" i="89"/>
  <c r="Y8" i="89"/>
  <c r="V76" i="89"/>
  <c r="V78" i="89" s="1"/>
  <c r="T76" i="89"/>
  <c r="T78" i="89" s="1"/>
  <c r="V207" i="57"/>
  <c r="T22" i="89"/>
  <c r="S110" i="89"/>
  <c r="L127" i="89"/>
  <c r="T99" i="89"/>
  <c r="J87" i="89"/>
  <c r="K119" i="89"/>
  <c r="K122" i="89" s="1"/>
  <c r="K130" i="89" s="1"/>
  <c r="U97" i="89"/>
  <c r="S71" i="89"/>
  <c r="V99" i="89"/>
  <c r="S47" i="89"/>
  <c r="S14" i="89"/>
  <c r="V67" i="89"/>
  <c r="U126" i="89"/>
  <c r="U127" i="89" s="1"/>
  <c r="Y76" i="89"/>
  <c r="Y78" i="89" s="1"/>
  <c r="T112" i="89"/>
  <c r="Y112" i="89"/>
  <c r="Q133" i="89"/>
  <c r="T97" i="89"/>
  <c r="T8" i="89"/>
  <c r="V126" i="89"/>
  <c r="V127" i="89" s="1"/>
  <c r="U76" i="89"/>
  <c r="U78" i="89" s="1"/>
  <c r="S161" i="89"/>
  <c r="U160" i="89"/>
  <c r="U161" i="89" s="1"/>
  <c r="U165" i="89" s="1"/>
  <c r="G594" i="57"/>
  <c r="T18" i="89"/>
  <c r="Y18" i="89"/>
  <c r="O20" i="60"/>
  <c r="U523" i="57"/>
  <c r="V523" i="57" s="1"/>
  <c r="T33" i="89"/>
  <c r="T7" i="89"/>
  <c r="Y199" i="89"/>
  <c r="Y69" i="89"/>
  <c r="T69" i="89"/>
  <c r="U69" i="89"/>
  <c r="W523" i="57"/>
  <c r="U299" i="57"/>
  <c r="R299" i="57"/>
  <c r="K594" i="57"/>
  <c r="U47" i="63"/>
  <c r="R47" i="63"/>
  <c r="K47" i="63"/>
  <c r="Y105" i="89"/>
  <c r="V105" i="89"/>
  <c r="T105" i="89"/>
  <c r="Z124" i="89"/>
  <c r="Y109" i="89"/>
  <c r="U109" i="89"/>
  <c r="T109" i="89"/>
  <c r="V109" i="89"/>
  <c r="U113" i="89"/>
  <c r="Y113" i="89"/>
  <c r="V113" i="89"/>
  <c r="T199" i="89"/>
  <c r="U199" i="89"/>
  <c r="U39" i="89"/>
  <c r="T39" i="89"/>
  <c r="V39" i="89"/>
  <c r="O594" i="57"/>
  <c r="O20" i="57"/>
  <c r="E594" i="57"/>
  <c r="D55" i="60"/>
  <c r="V80" i="89"/>
  <c r="V81" i="89" s="1"/>
  <c r="G141" i="57"/>
  <c r="T114" i="89"/>
  <c r="Y7" i="89"/>
  <c r="W130" i="89"/>
  <c r="Y39" i="89"/>
  <c r="T145" i="89"/>
  <c r="S146" i="89"/>
  <c r="T30" i="89"/>
  <c r="V30" i="89"/>
  <c r="Y30" i="89"/>
  <c r="V69" i="89"/>
  <c r="T9" i="89"/>
  <c r="V9" i="89"/>
  <c r="T13" i="89"/>
  <c r="U13" i="89"/>
  <c r="Y13" i="89"/>
  <c r="V13" i="89"/>
  <c r="M24" i="57"/>
  <c r="E24" i="57"/>
  <c r="K254" i="63"/>
  <c r="N48" i="63"/>
  <c r="N254" i="63"/>
  <c r="F14" i="88"/>
  <c r="R24" i="57"/>
  <c r="U314" i="57"/>
  <c r="U318" i="57" s="1"/>
  <c r="S318" i="57"/>
  <c r="Q20" i="57"/>
  <c r="N20" i="57"/>
  <c r="U48" i="63"/>
  <c r="U254" i="63"/>
  <c r="I44" i="63"/>
  <c r="AA18" i="63"/>
  <c r="V55" i="89"/>
  <c r="M20" i="57"/>
  <c r="O23" i="57"/>
  <c r="G21" i="57"/>
  <c r="K20" i="57"/>
  <c r="W47" i="57"/>
  <c r="AA187" i="63"/>
  <c r="R254" i="63"/>
  <c r="R256" i="63" s="1"/>
  <c r="N52" i="63"/>
  <c r="G14" i="88"/>
  <c r="T287" i="63"/>
  <c r="Z264" i="63"/>
  <c r="Z271" i="63"/>
  <c r="V49" i="63"/>
  <c r="P44" i="63"/>
  <c r="I54" i="60"/>
  <c r="N87" i="89"/>
  <c r="N150" i="89" s="1"/>
  <c r="Z47" i="89"/>
  <c r="Z87" i="89" s="1"/>
  <c r="X47" i="89"/>
  <c r="X87" i="89" s="1"/>
  <c r="U49" i="63"/>
  <c r="F43" i="76"/>
  <c r="X110" i="89"/>
  <c r="L56" i="89"/>
  <c r="J122" i="89"/>
  <c r="N124" i="89"/>
  <c r="W71" i="89"/>
  <c r="W87" i="89" s="1"/>
  <c r="V10" i="57"/>
  <c r="S17" i="57"/>
  <c r="T50" i="63"/>
  <c r="K87" i="89" l="1"/>
  <c r="K85" i="89"/>
  <c r="L84" i="89"/>
  <c r="T101" i="89"/>
  <c r="U101" i="89"/>
  <c r="V101" i="89"/>
  <c r="Y101" i="89"/>
  <c r="S73" i="89"/>
  <c r="L74" i="89"/>
  <c r="S17" i="89"/>
  <c r="L20" i="89"/>
  <c r="W150" i="89"/>
  <c r="E26" i="57"/>
  <c r="E27" i="57" s="1"/>
  <c r="R291" i="63"/>
  <c r="Y98" i="89"/>
  <c r="T98" i="89"/>
  <c r="V98" i="89"/>
  <c r="U98" i="89"/>
  <c r="U65" i="89"/>
  <c r="K124" i="89"/>
  <c r="S65" i="89"/>
  <c r="V64" i="89"/>
  <c r="V65" i="89" s="1"/>
  <c r="Y64" i="89"/>
  <c r="Y65" i="89" s="1"/>
  <c r="T64" i="89"/>
  <c r="T65" i="89" s="1"/>
  <c r="U64" i="89"/>
  <c r="L47" i="89"/>
  <c r="T126" i="89"/>
  <c r="T127" i="89" s="1"/>
  <c r="Y126" i="89"/>
  <c r="Y127" i="89" s="1"/>
  <c r="S127" i="89"/>
  <c r="V23" i="89"/>
  <c r="V47" i="89" s="1"/>
  <c r="Y23" i="89"/>
  <c r="U23" i="89"/>
  <c r="T23" i="89"/>
  <c r="V110" i="89"/>
  <c r="K133" i="89"/>
  <c r="V40" i="89"/>
  <c r="Y40" i="89"/>
  <c r="T40" i="89"/>
  <c r="T47" i="89" s="1"/>
  <c r="U40" i="89"/>
  <c r="U47" i="89" s="1"/>
  <c r="V68" i="89"/>
  <c r="Y68" i="89"/>
  <c r="Y71" i="89" s="1"/>
  <c r="T68" i="89"/>
  <c r="U68" i="89"/>
  <c r="U71" i="89" s="1"/>
  <c r="V54" i="63"/>
  <c r="V56" i="63" s="1"/>
  <c r="Z44" i="63"/>
  <c r="AA51" i="63"/>
  <c r="Z51" i="63"/>
  <c r="Y256" i="63"/>
  <c r="Y291" i="63" s="1"/>
  <c r="Y50" i="63"/>
  <c r="Z50" i="63" s="1"/>
  <c r="Z52" i="63"/>
  <c r="Z48" i="63"/>
  <c r="Z49" i="63"/>
  <c r="W21" i="57"/>
  <c r="I26" i="57"/>
  <c r="I27" i="57" s="1"/>
  <c r="G26" i="57"/>
  <c r="G27" i="57" s="1"/>
  <c r="K26" i="57"/>
  <c r="K27" i="57" s="1"/>
  <c r="U23" i="57"/>
  <c r="O26" i="57"/>
  <c r="O27" i="57" s="1"/>
  <c r="Z287" i="63"/>
  <c r="U17" i="57"/>
  <c r="V17" i="57" s="1"/>
  <c r="AA48" i="63"/>
  <c r="V256" i="63"/>
  <c r="V258" i="63" s="1"/>
  <c r="V289" i="63" s="1"/>
  <c r="T256" i="63"/>
  <c r="T258" i="63" s="1"/>
  <c r="T289" i="63" s="1"/>
  <c r="AA50" i="63"/>
  <c r="AA254" i="63"/>
  <c r="Z254" i="63"/>
  <c r="AA47" i="63"/>
  <c r="AA44" i="63"/>
  <c r="R594" i="57"/>
  <c r="M26" i="57"/>
  <c r="M27" i="57" s="1"/>
  <c r="S594" i="57"/>
  <c r="W592" i="57" s="1"/>
  <c r="P26" i="57"/>
  <c r="P27" i="57" s="1"/>
  <c r="W20" i="57"/>
  <c r="W19" i="57"/>
  <c r="V15" i="57"/>
  <c r="V141" i="57"/>
  <c r="AA52" i="63"/>
  <c r="R54" i="63"/>
  <c r="R56" i="63" s="1"/>
  <c r="S26" i="57"/>
  <c r="S27" i="57" s="1"/>
  <c r="Q26" i="57"/>
  <c r="J124" i="89"/>
  <c r="J130" i="89"/>
  <c r="W10" i="57"/>
  <c r="W17" i="57" s="1"/>
  <c r="W141" i="57"/>
  <c r="K150" i="89"/>
  <c r="M130" i="89"/>
  <c r="M124" i="89"/>
  <c r="N133" i="89"/>
  <c r="T71" i="89"/>
  <c r="T54" i="63"/>
  <c r="T56" i="63" s="1"/>
  <c r="S56" i="89"/>
  <c r="L57" i="89"/>
  <c r="W133" i="89"/>
  <c r="AB161" i="89"/>
  <c r="S165" i="89"/>
  <c r="AB165" i="89" s="1"/>
  <c r="V71" i="89"/>
  <c r="U110" i="89"/>
  <c r="U230" i="57"/>
  <c r="N26" i="57"/>
  <c r="N27" i="57" s="1"/>
  <c r="Y110" i="89"/>
  <c r="AA161" i="63"/>
  <c r="X130" i="89"/>
  <c r="X133" i="89" s="1"/>
  <c r="X124" i="89"/>
  <c r="Z150" i="89"/>
  <c r="Z133" i="89"/>
  <c r="AA49" i="63"/>
  <c r="U14" i="89"/>
  <c r="V14" i="89"/>
  <c r="T146" i="89"/>
  <c r="AB146" i="89" s="1"/>
  <c r="U148" i="89"/>
  <c r="V239" i="57"/>
  <c r="Y14" i="89"/>
  <c r="T14" i="89"/>
  <c r="U543" i="57"/>
  <c r="V543" i="57" s="1"/>
  <c r="T110" i="89"/>
  <c r="L119" i="89"/>
  <c r="J150" i="89"/>
  <c r="V118" i="89"/>
  <c r="Y118" i="89"/>
  <c r="U118" i="89"/>
  <c r="T118" i="89"/>
  <c r="R26" i="57"/>
  <c r="R27" i="57" s="1"/>
  <c r="Z47" i="63"/>
  <c r="U591" i="57"/>
  <c r="V591" i="57" s="1"/>
  <c r="L85" i="89" l="1"/>
  <c r="S84" i="89"/>
  <c r="L87" i="89"/>
  <c r="V73" i="89"/>
  <c r="Y73" i="89"/>
  <c r="T73" i="89"/>
  <c r="U73" i="89"/>
  <c r="S74" i="89"/>
  <c r="S198" i="89"/>
  <c r="Y17" i="89"/>
  <c r="Y20" i="89" s="1"/>
  <c r="T17" i="89"/>
  <c r="T20" i="89" s="1"/>
  <c r="S20" i="89"/>
  <c r="U17" i="89"/>
  <c r="U20" i="89" s="1"/>
  <c r="V17" i="89"/>
  <c r="V20" i="89" s="1"/>
  <c r="V158" i="89" s="1"/>
  <c r="Y47" i="89"/>
  <c r="AB127" i="89"/>
  <c r="V587" i="57"/>
  <c r="V582" i="57"/>
  <c r="V583" i="57"/>
  <c r="V586" i="57"/>
  <c r="Y54" i="63"/>
  <c r="Z161" i="63"/>
  <c r="Q27" i="57"/>
  <c r="V291" i="63"/>
  <c r="T291" i="63"/>
  <c r="AA289" i="63"/>
  <c r="AA54" i="63"/>
  <c r="S183" i="89"/>
  <c r="U183" i="89" s="1"/>
  <c r="S177" i="89"/>
  <c r="U177" i="89" s="1"/>
  <c r="U20" i="57"/>
  <c r="V20" i="57" s="1"/>
  <c r="R258" i="63"/>
  <c r="R289" i="63" s="1"/>
  <c r="U56" i="89"/>
  <c r="U57" i="89" s="1"/>
  <c r="T56" i="89"/>
  <c r="T57" i="89" s="1"/>
  <c r="S57" i="89"/>
  <c r="V56" i="89"/>
  <c r="V57" i="89" s="1"/>
  <c r="Y56" i="89"/>
  <c r="S119" i="89"/>
  <c r="L122" i="89"/>
  <c r="Z256" i="63"/>
  <c r="Y258" i="63"/>
  <c r="V424" i="57"/>
  <c r="U21" i="57"/>
  <c r="V21" i="57" s="1"/>
  <c r="V149" i="57"/>
  <c r="O19" i="60"/>
  <c r="X150" i="89"/>
  <c r="V147" i="57"/>
  <c r="U24" i="57"/>
  <c r="M150" i="89"/>
  <c r="M133" i="89"/>
  <c r="X17" i="57"/>
  <c r="V74" i="89" l="1"/>
  <c r="V198" i="89"/>
  <c r="U74" i="89"/>
  <c r="U198" i="89"/>
  <c r="T74" i="89"/>
  <c r="T198" i="89"/>
  <c r="U84" i="89"/>
  <c r="U85" i="89" s="1"/>
  <c r="V84" i="89"/>
  <c r="V85" i="89" s="1"/>
  <c r="Y84" i="89"/>
  <c r="Y85" i="89" s="1"/>
  <c r="S85" i="89"/>
  <c r="S87" i="89" s="1"/>
  <c r="T84" i="89"/>
  <c r="T85" i="89" s="1"/>
  <c r="Y74" i="89"/>
  <c r="Y198" i="89"/>
  <c r="Z54" i="63"/>
  <c r="Z56" i="63" s="1"/>
  <c r="Y56" i="63"/>
  <c r="U87" i="89"/>
  <c r="O51" i="60"/>
  <c r="N54" i="60"/>
  <c r="Y289" i="63"/>
  <c r="Z289" i="63" s="1"/>
  <c r="Z258" i="63"/>
  <c r="V119" i="89"/>
  <c r="V122" i="89" s="1"/>
  <c r="Y119" i="89"/>
  <c r="Y122" i="89" s="1"/>
  <c r="U119" i="89"/>
  <c r="U122" i="89" s="1"/>
  <c r="T119" i="89"/>
  <c r="T122" i="89" s="1"/>
  <c r="S122" i="89"/>
  <c r="V473" i="57"/>
  <c r="V24" i="57"/>
  <c r="W24" i="57" s="1"/>
  <c r="U182" i="57"/>
  <c r="Y57" i="89"/>
  <c r="Y87" i="89" s="1"/>
  <c r="V87" i="89"/>
  <c r="V23" i="57"/>
  <c r="L130" i="89"/>
  <c r="L124" i="89"/>
  <c r="T87" i="89"/>
  <c r="U130" i="89" l="1"/>
  <c r="U133" i="89" s="1"/>
  <c r="U124" i="89"/>
  <c r="AB87" i="89"/>
  <c r="Y130" i="89"/>
  <c r="Y133" i="89" s="1"/>
  <c r="Y124" i="89"/>
  <c r="X24" i="57"/>
  <c r="W26" i="57"/>
  <c r="W27" i="57" s="1"/>
  <c r="L133" i="89"/>
  <c r="L150" i="89"/>
  <c r="V182" i="57"/>
  <c r="U19" i="57"/>
  <c r="U594" i="57"/>
  <c r="V594" i="57" s="1"/>
  <c r="S124" i="89"/>
  <c r="S130" i="89"/>
  <c r="V130" i="89"/>
  <c r="V133" i="89" s="1"/>
  <c r="V124" i="89"/>
  <c r="T124" i="89"/>
  <c r="T130" i="89"/>
  <c r="T133" i="89" s="1"/>
  <c r="U150" i="89"/>
  <c r="J134" i="89" l="1"/>
  <c r="V19" i="57"/>
  <c r="U26" i="57"/>
  <c r="U29" i="57" s="1"/>
  <c r="S133" i="89"/>
  <c r="J133" i="89" s="1"/>
  <c r="J135" i="89" s="1"/>
  <c r="AB130" i="89"/>
  <c r="S150" i="89"/>
  <c r="S181" i="89"/>
  <c r="S175" i="89"/>
  <c r="AB124" i="89"/>
  <c r="AC124" i="89" s="1"/>
  <c r="V150" i="89"/>
  <c r="T150" i="89"/>
  <c r="Y150" i="89"/>
  <c r="S182" i="89" l="1"/>
  <c r="U182" i="89" s="1"/>
  <c r="S176" i="89"/>
  <c r="U176" i="89" s="1"/>
  <c r="S184" i="89"/>
  <c r="U181" i="89"/>
  <c r="U184" i="89" s="1"/>
  <c r="V29" i="57"/>
  <c r="V26" i="57"/>
  <c r="U27" i="57"/>
  <c r="U175" i="89"/>
  <c r="U178" i="89" s="1"/>
  <c r="AB150" i="89"/>
  <c r="AB168" i="89" s="1"/>
  <c r="S178" i="89" l="1"/>
  <c r="K97" i="63" l="1"/>
  <c r="K50" i="63" s="1"/>
  <c r="K54" i="63" s="1"/>
  <c r="K56" i="63" s="1"/>
  <c r="I97" i="63"/>
  <c r="I161" i="63" s="1"/>
  <c r="I256" i="63" s="1"/>
  <c r="I258" i="63" s="1"/>
  <c r="I289" i="63" s="1"/>
  <c r="P97" i="63"/>
  <c r="P161" i="63" s="1"/>
  <c r="P256" i="63" s="1"/>
  <c r="M97" i="63"/>
  <c r="M50" i="63" s="1"/>
  <c r="M54" i="63" s="1"/>
  <c r="M56" i="63" s="1"/>
  <c r="N97" i="63"/>
  <c r="N50" i="63" s="1"/>
  <c r="N54" i="63" s="1"/>
  <c r="N56" i="63" s="1"/>
  <c r="U97" i="63"/>
  <c r="U50" i="63" s="1"/>
  <c r="U54" i="63" s="1"/>
  <c r="U56" i="63" s="1"/>
  <c r="M161" i="63" l="1"/>
  <c r="M256" i="63" s="1"/>
  <c r="M258" i="63" s="1"/>
  <c r="M289" i="63" s="1"/>
  <c r="K161" i="63"/>
  <c r="K256" i="63" s="1"/>
  <c r="K258" i="63" s="1"/>
  <c r="K289" i="63" s="1"/>
  <c r="U161" i="63"/>
  <c r="U256" i="63" s="1"/>
  <c r="U258" i="63" s="1"/>
  <c r="U289" i="63" s="1"/>
  <c r="P50" i="63"/>
  <c r="P54" i="63" s="1"/>
  <c r="P56" i="63" s="1"/>
  <c r="I50" i="63"/>
  <c r="I54" i="63" s="1"/>
  <c r="I56" i="63" s="1"/>
  <c r="P291" i="63"/>
  <c r="P258" i="63"/>
  <c r="P289" i="63" s="1"/>
  <c r="N161" i="63"/>
  <c r="N256" i="63" s="1"/>
  <c r="N258" i="63" s="1"/>
  <c r="N289" i="63" s="1"/>
  <c r="U291" i="63" l="1"/>
</calcChain>
</file>

<file path=xl/comments1.xml><?xml version="1.0" encoding="utf-8"?>
<comments xmlns="http://schemas.openxmlformats.org/spreadsheetml/2006/main">
  <authors>
    <author>Edith Ramirez</author>
  </authors>
  <commentList>
    <comment ref="U226" authorId="0" shapeId="0">
      <text>
        <r>
          <rPr>
            <b/>
            <sz val="9"/>
            <color indexed="81"/>
            <rFont val="Tahoma"/>
            <family val="2"/>
          </rPr>
          <t>Edith Ramirez:</t>
        </r>
        <r>
          <rPr>
            <sz val="9"/>
            <color indexed="81"/>
            <rFont val="Tahoma"/>
            <family val="2"/>
          </rPr>
          <t xml:space="preserve">
50k Securty System</t>
        </r>
      </text>
    </comment>
  </commentList>
</comments>
</file>

<file path=xl/comments2.xml><?xml version="1.0" encoding="utf-8"?>
<comments xmlns="http://schemas.openxmlformats.org/spreadsheetml/2006/main">
  <authors>
    <author>C Gonzales</author>
  </authors>
  <commentList>
    <comment ref="W46" authorId="0" shapeId="0">
      <text>
        <r>
          <rPr>
            <b/>
            <sz val="9"/>
            <color indexed="81"/>
            <rFont val="Tahoma"/>
            <family val="2"/>
          </rPr>
          <t>C Gonzales:</t>
        </r>
        <r>
          <rPr>
            <sz val="9"/>
            <color indexed="81"/>
            <rFont val="Tahoma"/>
            <family val="2"/>
          </rPr>
          <t xml:space="preserve">
Avg Helath Charge $425.92
</t>
        </r>
      </text>
    </comment>
    <comment ref="W70" authorId="0" shapeId="0">
      <text>
        <r>
          <rPr>
            <b/>
            <sz val="9"/>
            <color indexed="81"/>
            <rFont val="Tahoma"/>
            <family val="2"/>
          </rPr>
          <t>C Gonzales:</t>
        </r>
        <r>
          <rPr>
            <sz val="9"/>
            <color indexed="81"/>
            <rFont val="Tahoma"/>
            <family val="2"/>
          </rPr>
          <t xml:space="preserve">
Avg Helath Charge $425.92
</t>
        </r>
      </text>
    </comment>
    <comment ref="W73" authorId="0" shapeId="0">
      <text>
        <r>
          <rPr>
            <b/>
            <sz val="9"/>
            <color indexed="81"/>
            <rFont val="Tahoma"/>
            <family val="2"/>
          </rPr>
          <t>C Gonzales:</t>
        </r>
        <r>
          <rPr>
            <sz val="9"/>
            <color indexed="81"/>
            <rFont val="Tahoma"/>
            <family val="2"/>
          </rPr>
          <t xml:space="preserve">
Avg Helath Charge $425.92
</t>
        </r>
      </text>
    </comment>
  </commentList>
</comments>
</file>

<file path=xl/sharedStrings.xml><?xml version="1.0" encoding="utf-8"?>
<sst xmlns="http://schemas.openxmlformats.org/spreadsheetml/2006/main" count="2406" uniqueCount="1524">
  <si>
    <t>542-80110</t>
  </si>
  <si>
    <t>543-80110</t>
  </si>
  <si>
    <t>WARRANT OFFICER</t>
  </si>
  <si>
    <t>CITY ADMINISTRATOR</t>
  </si>
  <si>
    <t>FINANCE DIRECTOR</t>
  </si>
  <si>
    <t>COURT CLERK</t>
  </si>
  <si>
    <t>LIBRARIAN</t>
  </si>
  <si>
    <t>LIBRARY</t>
  </si>
  <si>
    <t>POLICE</t>
  </si>
  <si>
    <t>DETECTIVE</t>
  </si>
  <si>
    <t>PUBLIC WORKS</t>
  </si>
  <si>
    <t>CITY SECRETARY</t>
  </si>
  <si>
    <t>DIRECTOR OF PUBLIC WORKS</t>
  </si>
  <si>
    <t>RODRIGUEZ</t>
  </si>
  <si>
    <t>GONZALES</t>
  </si>
  <si>
    <t>VASQUEZ</t>
  </si>
  <si>
    <t>PEREZ</t>
  </si>
  <si>
    <t>RODARTE</t>
  </si>
  <si>
    <t>VILLANUEVA</t>
  </si>
  <si>
    <t>2004-2005</t>
  </si>
  <si>
    <t>ACCOUNTANT CLERK</t>
  </si>
  <si>
    <t xml:space="preserve">     TOTAL SERVICE CONTRACT</t>
  </si>
  <si>
    <t>SERVICE CONTRACT-LFCISD</t>
  </si>
  <si>
    <t>PD-SERVICE CONTRACT</t>
  </si>
  <si>
    <t xml:space="preserve">PARK MAINTENANCE </t>
  </si>
  <si>
    <t>1/2</t>
  </si>
  <si>
    <t>CARLOS</t>
  </si>
  <si>
    <t>IRMA</t>
  </si>
  <si>
    <t>JOSE</t>
  </si>
  <si>
    <t>JOSUE</t>
  </si>
  <si>
    <t>MAXIMILIANO</t>
  </si>
  <si>
    <t>CONTRACT LOS FRESNOS EMS</t>
  </si>
  <si>
    <t>519-30260</t>
  </si>
  <si>
    <t>RCI- FIXED ASSETS/RECORD RETENTION</t>
  </si>
  <si>
    <t>H</t>
  </si>
  <si>
    <t>S</t>
  </si>
  <si>
    <t>WATER WORKER</t>
  </si>
  <si>
    <t>FICA</t>
  </si>
  <si>
    <t>HEALTH</t>
  </si>
  <si>
    <t>WORKERS COMP</t>
  </si>
  <si>
    <t>RECORD #</t>
  </si>
  <si>
    <t>FNAME</t>
  </si>
  <si>
    <t>LNAME</t>
  </si>
  <si>
    <t>DEPT #</t>
  </si>
  <si>
    <t>DEPARTMENT</t>
  </si>
  <si>
    <t>POSITION</t>
  </si>
  <si>
    <t>TEXAS WORKFORCE COMMISSION</t>
  </si>
  <si>
    <t>MEDICARE</t>
  </si>
  <si>
    <t>CITY OF LOS FRESNOS</t>
  </si>
  <si>
    <t>PER RATES</t>
  </si>
  <si>
    <t>PAY* CODE</t>
  </si>
  <si>
    <t>FTE**</t>
  </si>
  <si>
    <t>RATE***</t>
  </si>
  <si>
    <t>AEP FRANCHISE FEE</t>
  </si>
  <si>
    <t xml:space="preserve">     TOTAL ADMINISTRATION</t>
  </si>
  <si>
    <t xml:space="preserve">     TOTAL MUNICIPAL COURT</t>
  </si>
  <si>
    <t xml:space="preserve">     TOTAL POLICE DEPARTMENT</t>
  </si>
  <si>
    <t xml:space="preserve">     TOTAL PARKS</t>
  </si>
  <si>
    <t xml:space="preserve">     TOTAL LIBRARY</t>
  </si>
  <si>
    <t xml:space="preserve">     TOTAL COMMUNITY CENTER</t>
  </si>
  <si>
    <t>CRIME PREVENTION</t>
  </si>
  <si>
    <t>TOTAL GENERAL FUND</t>
  </si>
  <si>
    <t xml:space="preserve">     TOTAL WATER &amp; SEWER MAINTENANCE</t>
  </si>
  <si>
    <t>TOTAL UTILITY FUND</t>
  </si>
  <si>
    <t>WATER REVENUE</t>
  </si>
  <si>
    <t>INTEREST INCOME</t>
  </si>
  <si>
    <t>PAYROLL TAXES - FICA</t>
  </si>
  <si>
    <t>PAYROLL TAXES MEDICARE</t>
  </si>
  <si>
    <t>HEALTH &amp; OTHER BENEFITS</t>
  </si>
  <si>
    <t>PAYROLL TAXES TWC</t>
  </si>
  <si>
    <t>RETIREMENT EXPENSE</t>
  </si>
  <si>
    <t>REPAIRS - VEHICLES</t>
  </si>
  <si>
    <t>TRAVEL &amp; TRAINING</t>
  </si>
  <si>
    <t>DUES/MEMBERSHIPS</t>
  </si>
  <si>
    <t>MAINTENANCE OF BLDG.</t>
  </si>
  <si>
    <t>WAREHOUSE MAINT</t>
  </si>
  <si>
    <t>WATER LINE MAINT</t>
  </si>
  <si>
    <t>LEASE EQUIPT.</t>
  </si>
  <si>
    <t>WATER TAPS</t>
  </si>
  <si>
    <t>UTILITY EXPENSE FEE</t>
  </si>
  <si>
    <t>SEWER TAP</t>
  </si>
  <si>
    <t>PENALTIES</t>
  </si>
  <si>
    <t>SALARIES &amp; BENEFITS</t>
  </si>
  <si>
    <t>WORKERS COMPENSATION INSURANCE</t>
  </si>
  <si>
    <t>FY 2000-2001</t>
  </si>
  <si>
    <t>REPAIRS &amp; MAINTENANCE</t>
  </si>
  <si>
    <t>MATERIALS &amp; SUPPLIES</t>
  </si>
  <si>
    <t>TOTAL UTILITY FUND EXPENSES</t>
  </si>
  <si>
    <t>EXPENSES</t>
  </si>
  <si>
    <t>PRISONER EXPENSE</t>
  </si>
  <si>
    <t>507-10100</t>
  </si>
  <si>
    <t>507-99100</t>
  </si>
  <si>
    <t xml:space="preserve">VEHICLE REPAIRS </t>
  </si>
  <si>
    <t>ACTUAL (PER AUDIT)</t>
  </si>
  <si>
    <t>CONTRACT LABOR - CPR</t>
  </si>
  <si>
    <t>FUEL FOR  VEHICLES</t>
  </si>
  <si>
    <t>SCHOOL SUPPORT/EXPLORERS</t>
  </si>
  <si>
    <t>COPS</t>
  </si>
  <si>
    <t>415-1060</t>
  </si>
  <si>
    <t>LFCISD POOL CONTRACT</t>
  </si>
  <si>
    <t xml:space="preserve">     TOTAL PROPERTY TAXES</t>
  </si>
  <si>
    <t xml:space="preserve">     TOTAL SALES TAXES</t>
  </si>
  <si>
    <t xml:space="preserve">     TOTAL FRANCHISE FEES</t>
  </si>
  <si>
    <t xml:space="preserve">     TOTAL MUNICPAL FINES</t>
  </si>
  <si>
    <t>DEBT SERVICE</t>
  </si>
  <si>
    <t>PAYROLL TAXES FICA</t>
  </si>
  <si>
    <t>WORKMAN'S COMPENSATION INSURANCE</t>
  </si>
  <si>
    <t>GENERAL GOVERNMENT</t>
  </si>
  <si>
    <t>POLICE OVERTIME</t>
  </si>
  <si>
    <t>PUBLIC SAFETY</t>
  </si>
  <si>
    <t>HIGHWAYS &amp; STREETS</t>
  </si>
  <si>
    <t>SANITATION</t>
  </si>
  <si>
    <t>HEALTH &amp; WELFARE</t>
  </si>
  <si>
    <t>CULTURE &amp; RECREATION</t>
  </si>
  <si>
    <t>TAX RATE</t>
  </si>
  <si>
    <t>TAX LEVY</t>
  </si>
  <si>
    <t>PERCENT</t>
  </si>
  <si>
    <t>MAINTENANCE &amp; OPERATION</t>
  </si>
  <si>
    <t>INTEREST &amp; SINKING FUND</t>
  </si>
  <si>
    <t>NSF CHARGES</t>
  </si>
  <si>
    <t>SUPPLIES TOOLS &amp; EQUIPMENT</t>
  </si>
  <si>
    <t>530-30100</t>
  </si>
  <si>
    <t>AGENT FEE ON WATER BONDS</t>
  </si>
  <si>
    <t xml:space="preserve">INTEREST EXPENSE 1984 </t>
  </si>
  <si>
    <t>532-80117</t>
  </si>
  <si>
    <t>INTEREST EXPENSE 1984A</t>
  </si>
  <si>
    <t>532-80118</t>
  </si>
  <si>
    <t>INTEREST EXPENSE 1985</t>
  </si>
  <si>
    <t>541-80315</t>
  </si>
  <si>
    <t>532-80125</t>
  </si>
  <si>
    <t>534-01100</t>
  </si>
  <si>
    <t>534-01500</t>
  </si>
  <si>
    <t>534-02100</t>
  </si>
  <si>
    <t>534-02105</t>
  </si>
  <si>
    <t>534-02106</t>
  </si>
  <si>
    <t>534-02107</t>
  </si>
  <si>
    <t>534-03115</t>
  </si>
  <si>
    <t>TOTAL TAX RATE</t>
  </si>
  <si>
    <t>LIBRARY CLERK</t>
  </si>
  <si>
    <t>TOTAL STREETS DEPARTMENT</t>
  </si>
  <si>
    <t>GRANTS</t>
  </si>
  <si>
    <t>EXPENDITURES</t>
  </si>
  <si>
    <t xml:space="preserve">     TOTAL OTHER REVENUE</t>
  </si>
  <si>
    <t>SALES TAXES</t>
  </si>
  <si>
    <t>TOTAL EXPENDITURES</t>
  </si>
  <si>
    <t>EXCESS REVENUES(EXPENDITURES)</t>
  </si>
  <si>
    <t>536-06100</t>
  </si>
  <si>
    <t>2005-2006</t>
  </si>
  <si>
    <t xml:space="preserve">     TOTAL GARBAGE FEES</t>
  </si>
  <si>
    <t xml:space="preserve">     TOTAL GRANTS</t>
  </si>
  <si>
    <t>GARBAGE FEES</t>
  </si>
  <si>
    <t>FINES &amp; FORFEITURES</t>
  </si>
  <si>
    <t>400-0127</t>
  </si>
  <si>
    <t>407-0241</t>
  </si>
  <si>
    <t>LIBRARY REVENUE-COPY MACHINE</t>
  </si>
  <si>
    <t>490-7560</t>
  </si>
  <si>
    <t>JANITORIAL SALARIES</t>
  </si>
  <si>
    <t>502-01500</t>
  </si>
  <si>
    <t>OVERTIME SALARY EXPENSE</t>
  </si>
  <si>
    <t>502-02100</t>
  </si>
  <si>
    <t>502-02105</t>
  </si>
  <si>
    <t>502-02106</t>
  </si>
  <si>
    <t>HEALTH INS EXP</t>
  </si>
  <si>
    <t>502-02107</t>
  </si>
  <si>
    <t>502-02150</t>
  </si>
  <si>
    <t>TMRS RETIREMENT EXPENSE</t>
  </si>
  <si>
    <t>502-02160</t>
  </si>
  <si>
    <t>502-03110</t>
  </si>
  <si>
    <t>502-06100</t>
  </si>
  <si>
    <t>502-09110</t>
  </si>
  <si>
    <t>502-99100</t>
  </si>
  <si>
    <t>503-02100</t>
  </si>
  <si>
    <t>503-02105</t>
  </si>
  <si>
    <t>503-02106</t>
  </si>
  <si>
    <t>503-02107</t>
  </si>
  <si>
    <t>503-02150</t>
  </si>
  <si>
    <t>503-02160</t>
  </si>
  <si>
    <t>503-10100</t>
  </si>
  <si>
    <t>DUES &amp; MEMBERSHIPS</t>
  </si>
  <si>
    <t>503-30115</t>
  </si>
  <si>
    <t>PROPERTY TAX DISCOUNT</t>
  </si>
  <si>
    <t>COUNTY CONTRACT M&amp;O</t>
  </si>
  <si>
    <t>FICA EXPENSE</t>
  </si>
  <si>
    <t>SALARIES EXP</t>
  </si>
  <si>
    <t>507-02100</t>
  </si>
  <si>
    <t>507-02105</t>
  </si>
  <si>
    <t>507-02106</t>
  </si>
  <si>
    <t>507-02107</t>
  </si>
  <si>
    <t>507-02150</t>
  </si>
  <si>
    <t>507-02160</t>
  </si>
  <si>
    <t>507-06100</t>
  </si>
  <si>
    <t>PATROLMAN</t>
  </si>
  <si>
    <t>NSF REVENUE</t>
  </si>
  <si>
    <t>COURT FEES-TECH</t>
  </si>
  <si>
    <t>COURT FEES- JUDGE</t>
  </si>
  <si>
    <t>407-0270</t>
  </si>
  <si>
    <t>COURT FEES-SECURITY</t>
  </si>
  <si>
    <t>407-0280</t>
  </si>
  <si>
    <t>COURT FEES- CHILD SAFETY FUND</t>
  </si>
  <si>
    <t>407-0290</t>
  </si>
  <si>
    <t>407-0300</t>
  </si>
  <si>
    <t>407-0310</t>
  </si>
  <si>
    <t>POLICE RECORDS FEES</t>
  </si>
  <si>
    <t>GARBAGE PENALTIES</t>
  </si>
  <si>
    <t>507-14100</t>
  </si>
  <si>
    <t>507-04140</t>
  </si>
  <si>
    <t>POLICE EQUIPMENT</t>
  </si>
  <si>
    <t>523-02100</t>
  </si>
  <si>
    <t>523-02105</t>
  </si>
  <si>
    <t>523-02106</t>
  </si>
  <si>
    <t>523-02107</t>
  </si>
  <si>
    <t>523-02150</t>
  </si>
  <si>
    <t>523-02160</t>
  </si>
  <si>
    <t>523-13101</t>
  </si>
  <si>
    <t>430-0200</t>
  </si>
  <si>
    <t>430-0210</t>
  </si>
  <si>
    <t>RIGHT OF WAY FRANCHISE FEES</t>
  </si>
  <si>
    <t>430-0220</t>
  </si>
  <si>
    <t>430-0230</t>
  </si>
  <si>
    <t>FRANCHISE FEE-AT&amp;T</t>
  </si>
  <si>
    <t>514-02100</t>
  </si>
  <si>
    <t>514-02105</t>
  </si>
  <si>
    <t>514-02106</t>
  </si>
  <si>
    <t>514-02107</t>
  </si>
  <si>
    <t>514-02150</t>
  </si>
  <si>
    <t>514-02160</t>
  </si>
  <si>
    <t>515-02100</t>
  </si>
  <si>
    <t>515-02105</t>
  </si>
  <si>
    <t>515-02107</t>
  </si>
  <si>
    <t>515-02150</t>
  </si>
  <si>
    <t>515-02160</t>
  </si>
  <si>
    <t>515-03121</t>
  </si>
  <si>
    <t>516-02100</t>
  </si>
  <si>
    <t>516-02105</t>
  </si>
  <si>
    <t>516-02106</t>
  </si>
  <si>
    <t>516-02107</t>
  </si>
  <si>
    <t>516-02150</t>
  </si>
  <si>
    <t>516-02160</t>
  </si>
  <si>
    <t>516-06100</t>
  </si>
  <si>
    <t>516-13110</t>
  </si>
  <si>
    <t>517-11100</t>
  </si>
  <si>
    <t xml:space="preserve">JANITORIAL </t>
  </si>
  <si>
    <t>1/4</t>
  </si>
  <si>
    <t>PART TIME CLERK/24 HRS</t>
  </si>
  <si>
    <t>MUNICIPAL COURT FINES &amp; FEES</t>
  </si>
  <si>
    <t>MISC INCOME</t>
  </si>
  <si>
    <t>ACCOUNTS PAYABLE CLERK</t>
  </si>
  <si>
    <t xml:space="preserve">LIFE </t>
  </si>
  <si>
    <t>502-02210</t>
  </si>
  <si>
    <t>503-02210</t>
  </si>
  <si>
    <t>507-02210</t>
  </si>
  <si>
    <t>OTHER INS</t>
  </si>
  <si>
    <t>516-02210</t>
  </si>
  <si>
    <t>LIFE</t>
  </si>
  <si>
    <t>MISC FEES &amp; SERVICES</t>
  </si>
  <si>
    <t>C.C.I.D. #6 WATER</t>
  </si>
  <si>
    <t>SUPPLIES TOOLS</t>
  </si>
  <si>
    <t>WATER METERS</t>
  </si>
  <si>
    <t>SEWER CONNECTIONS</t>
  </si>
  <si>
    <t>SEWER TESTING</t>
  </si>
  <si>
    <t>REPAIRS - BACKHOE</t>
  </si>
  <si>
    <t>WATER PLANT MAINT</t>
  </si>
  <si>
    <t>SEWER SALARIES EXPENSE</t>
  </si>
  <si>
    <t>WATER PLANT EQUIP</t>
  </si>
  <si>
    <t>SEWER PLANT MAINTENANCE</t>
  </si>
  <si>
    <t>LIFT STATION MAINTENANCE</t>
  </si>
  <si>
    <t>SEWER PLANT EQUIP</t>
  </si>
  <si>
    <t>SEWER LINE MAINTENANCE</t>
  </si>
  <si>
    <t>SEWER CLEANING MACHINE REPAIR</t>
  </si>
  <si>
    <t>LIFT STATION EQUIPMENT</t>
  </si>
  <si>
    <t>BOND PAYMENTS</t>
  </si>
  <si>
    <t>SLUDGE REMOVAL</t>
  </si>
  <si>
    <t>TEXAS WATER COMM. PERMIT</t>
  </si>
  <si>
    <t>OVERHEAD TRANSFER TO GENERAL FUND-GRANTS</t>
  </si>
  <si>
    <t>400-5010</t>
  </si>
  <si>
    <t>400-5070</t>
  </si>
  <si>
    <t>WATER REVENUES</t>
  </si>
  <si>
    <t>TOTAL WATER REVENUES</t>
  </si>
  <si>
    <t>SEWER REVENUES</t>
  </si>
  <si>
    <t>WATER SALARIES EXPENSE</t>
  </si>
  <si>
    <t>OVERTIME</t>
  </si>
  <si>
    <t>SALARIES &amp; BENEFITS-WATER</t>
  </si>
  <si>
    <t>502-03115</t>
  </si>
  <si>
    <t>TOTAL WATER EXPENDITURES</t>
  </si>
  <si>
    <t>MATERIALS &amp; SUPPLIES-WATER</t>
  </si>
  <si>
    <t>CAPITAL OUTLAY-WATER</t>
  </si>
  <si>
    <t>526-04100</t>
  </si>
  <si>
    <t>526-04110</t>
  </si>
  <si>
    <t>526-04120</t>
  </si>
  <si>
    <t>526-04130</t>
  </si>
  <si>
    <t>WATER CONNECTIONS</t>
  </si>
  <si>
    <t>526-04150</t>
  </si>
  <si>
    <t>WATER TESTING</t>
  </si>
  <si>
    <t>526-07100</t>
  </si>
  <si>
    <t>527-11100</t>
  </si>
  <si>
    <t>527-11150</t>
  </si>
  <si>
    <t>528-08100</t>
  </si>
  <si>
    <t>SOUTHMOST REGIONAL WATER AUTHORITY</t>
  </si>
  <si>
    <t>528-11200</t>
  </si>
  <si>
    <t>528-11210</t>
  </si>
  <si>
    <t>529-04100</t>
  </si>
  <si>
    <t>530-14100</t>
  </si>
  <si>
    <t>530-30110</t>
  </si>
  <si>
    <t>530-30500</t>
  </si>
  <si>
    <t>520-13500</t>
  </si>
  <si>
    <t>532-80116</t>
  </si>
  <si>
    <t xml:space="preserve">     TOTAL BOND INDEBTEDNESS</t>
  </si>
  <si>
    <t>534-04100</t>
  </si>
  <si>
    <t>534-05100</t>
  </si>
  <si>
    <t>534-05120</t>
  </si>
  <si>
    <t>SALARIES &amp; BENEFITS-SEWER</t>
  </si>
  <si>
    <t>534-09100</t>
  </si>
  <si>
    <t>534-10100</t>
  </si>
  <si>
    <t>534-12110</t>
  </si>
  <si>
    <t>534-99100</t>
  </si>
  <si>
    <t>536-04100</t>
  </si>
  <si>
    <t>536-04110</t>
  </si>
  <si>
    <t>536-04120</t>
  </si>
  <si>
    <t>536-04130</t>
  </si>
  <si>
    <t>536-04150</t>
  </si>
  <si>
    <t>536-07100</t>
  </si>
  <si>
    <t>537-11100</t>
  </si>
  <si>
    <t>537-11150</t>
  </si>
  <si>
    <t>539-14100</t>
  </si>
  <si>
    <t>539-30110</t>
  </si>
  <si>
    <t>539-30170</t>
  </si>
  <si>
    <t>538-08100</t>
  </si>
  <si>
    <t>538-08110</t>
  </si>
  <si>
    <t>538-11200</t>
  </si>
  <si>
    <t>538-11210</t>
  </si>
  <si>
    <t>538-11220</t>
  </si>
  <si>
    <t>538-11230</t>
  </si>
  <si>
    <t>TOTAL SEWER EXPENSE</t>
  </si>
  <si>
    <t>TOTAL SEWER REVENUES</t>
  </si>
  <si>
    <t>REPAIRS &amp; MAINTENANCE-WATER</t>
  </si>
  <si>
    <t>BOND INDEBTEDNESS-WATER</t>
  </si>
  <si>
    <t>MATERIALS &amp; SUPPLIES-SEWER</t>
  </si>
  <si>
    <t>REPAIRS &amp; MAINTENANCE-SEWER</t>
  </si>
  <si>
    <t>CAPITAL OUTLAY-SEWER</t>
  </si>
  <si>
    <t>BOND INDEBTEDNESS-SEWER</t>
  </si>
  <si>
    <t>528-11220</t>
  </si>
  <si>
    <t>WATER METER REPAIRS</t>
  </si>
  <si>
    <t>COMMANDER</t>
  </si>
  <si>
    <t>528-11230</t>
  </si>
  <si>
    <t>520-11500</t>
  </si>
  <si>
    <t>WAREHOUSE IMPROVEMENTS</t>
  </si>
  <si>
    <t>400-0101</t>
  </si>
  <si>
    <t>CURRENT PROP TAX</t>
  </si>
  <si>
    <t>DELINQUENT PROPERTY TAXES</t>
  </si>
  <si>
    <t>400-0125</t>
  </si>
  <si>
    <t>CURRENT PENALTY &amp; INTEREST</t>
  </si>
  <si>
    <t>COSTS COLLECTED</t>
  </si>
  <si>
    <t>504-30301</t>
  </si>
  <si>
    <t>542-80100</t>
  </si>
  <si>
    <t>ACTUAL</t>
  </si>
  <si>
    <t>BOYS &amp; GIRLS CLUB</t>
  </si>
  <si>
    <t>PROPERTY TAXES</t>
  </si>
  <si>
    <t>DELINQUENT TAXES</t>
  </si>
  <si>
    <t>CITY SALES TAX</t>
  </si>
  <si>
    <t>LICENSE &amp; PERMITS</t>
  </si>
  <si>
    <t>RENTAL FEES-PARKS</t>
  </si>
  <si>
    <t>PLAT REVIEW FEES</t>
  </si>
  <si>
    <t>INTEREST EARNED</t>
  </si>
  <si>
    <t>POLICE EDUCATION FROM STATE</t>
  </si>
  <si>
    <t>SCHOOL CONTRACT</t>
  </si>
  <si>
    <t>GARBAGE COLLECTION-RESIDENTIAL</t>
  </si>
  <si>
    <t>GARBAGE COLLECTION-COMMERCIAL</t>
  </si>
  <si>
    <t>ENGINEERING</t>
  </si>
  <si>
    <t>AUDITOR</t>
  </si>
  <si>
    <t>SUPPLIES</t>
  </si>
  <si>
    <t>ADVERTISING</t>
  </si>
  <si>
    <t>523-02210</t>
  </si>
  <si>
    <t>TRANSFER TO WATER &amp; SEWER</t>
  </si>
  <si>
    <t>DUES &amp; MEMBERSHIP</t>
  </si>
  <si>
    <t>502-05100</t>
  </si>
  <si>
    <t>502-05120</t>
  </si>
  <si>
    <t>502-09100</t>
  </si>
  <si>
    <t>502-10100</t>
  </si>
  <si>
    <t>502-12100</t>
  </si>
  <si>
    <t>502-12110</t>
  </si>
  <si>
    <t>502-04100</t>
  </si>
  <si>
    <t>ADMINISTRATION SALARY</t>
  </si>
  <si>
    <t>OFFICE SUPPLIES &amp; PRINTING</t>
  </si>
  <si>
    <t>POSTAGE</t>
  </si>
  <si>
    <t>ELECTRICITY</t>
  </si>
  <si>
    <t>TELEPHONE</t>
  </si>
  <si>
    <t>TRAVEL &amp; SCHOOL</t>
  </si>
  <si>
    <t>MAINTENANCE OF EQUIPMENT</t>
  </si>
  <si>
    <t>BUILDING INSURANCE</t>
  </si>
  <si>
    <t>LIABILITY INSURANCE</t>
  </si>
  <si>
    <t>OFFICE SUPPLIES</t>
  </si>
  <si>
    <t>TAX APPRAISAL FEE</t>
  </si>
  <si>
    <t>OTHER INSURANCE</t>
  </si>
  <si>
    <t>TMRS</t>
  </si>
  <si>
    <t>UNIFORMS (ALLOWANCE)</t>
  </si>
  <si>
    <t>502-06120</t>
  </si>
  <si>
    <t>LF CHAMBER OF COMMERCE ADV.</t>
  </si>
  <si>
    <t>502-06130</t>
  </si>
  <si>
    <t>510-02100</t>
  </si>
  <si>
    <t xml:space="preserve">PAYROLL TAXES FICA </t>
  </si>
  <si>
    <t>510-02105</t>
  </si>
  <si>
    <t>510-02106</t>
  </si>
  <si>
    <t>PAYROLL TWC</t>
  </si>
  <si>
    <t>510-02150</t>
  </si>
  <si>
    <t>510-02160</t>
  </si>
  <si>
    <t>WORKMAN'S COMPENSATION</t>
  </si>
  <si>
    <t>510-02107</t>
  </si>
  <si>
    <t>510-02210</t>
  </si>
  <si>
    <t>BUILDING MAINTENANCE</t>
  </si>
  <si>
    <t>OVERTIME EXPENSE</t>
  </si>
  <si>
    <t xml:space="preserve">ADMINISTRATIVE SUPPLIES </t>
  </si>
  <si>
    <t>FIRE MARSHALL</t>
  </si>
  <si>
    <t>INSURANCE</t>
  </si>
  <si>
    <t>SPECIAL SERVICES - CONTRACT</t>
  </si>
  <si>
    <t>PLAT REVIEW</t>
  </si>
  <si>
    <t>MOSQUITO SPRAYING SUPPLIES</t>
  </si>
  <si>
    <t>UNIFORMS</t>
  </si>
  <si>
    <t>HOTEL/MOTEL TAX</t>
  </si>
  <si>
    <t>SALARIES</t>
  </si>
  <si>
    <t>OVERTIME SALARIES</t>
  </si>
  <si>
    <t>TOOLS &amp; SUPPLIES</t>
  </si>
  <si>
    <t>POOL SUPPLIES</t>
  </si>
  <si>
    <t>ELECTRICITY (PARK)</t>
  </si>
  <si>
    <t>FUEL FOR VEHICLES</t>
  </si>
  <si>
    <t>VEHICLE REPAIRS</t>
  </si>
  <si>
    <t>MOWING MACHINE REPAIRS</t>
  </si>
  <si>
    <t>POOL MAINT.</t>
  </si>
  <si>
    <t>NEW EQUIPMENT</t>
  </si>
  <si>
    <t>ELECTRICITY (STREET LIGHTS)</t>
  </si>
  <si>
    <t>STREET DRAINAGE &amp; REPAIRS</t>
  </si>
  <si>
    <t>STREET SIGNS &amp; REPAIRS</t>
  </si>
  <si>
    <t>VEGETATION CONTROL</t>
  </si>
  <si>
    <t>SUPPLIES &amp; EQUIPMENT</t>
  </si>
  <si>
    <t>502-01100</t>
  </si>
  <si>
    <t>ADMINISTRATION</t>
  </si>
  <si>
    <t>CHEMICALS</t>
  </si>
  <si>
    <t>REVENUES</t>
  </si>
  <si>
    <t>523-01100</t>
  </si>
  <si>
    <t>523-30100</t>
  </si>
  <si>
    <t>523-30115</t>
  </si>
  <si>
    <t>PRISONER EXPENSES</t>
  </si>
  <si>
    <t>BOOKS</t>
  </si>
  <si>
    <t>SALES TAX</t>
  </si>
  <si>
    <t>552-11100</t>
  </si>
  <si>
    <t>552-30130</t>
  </si>
  <si>
    <t>ATTORNEY</t>
  </si>
  <si>
    <t>BOND AGENT FEES</t>
  </si>
  <si>
    <t>SENIOR CITIZENS</t>
  </si>
  <si>
    <t>SPECIAL PROJECTS</t>
  </si>
  <si>
    <t>BOND PMTS TSF FROM CDC</t>
  </si>
  <si>
    <t>542-80116</t>
  </si>
  <si>
    <t>542-80117</t>
  </si>
  <si>
    <t>530-30520</t>
  </si>
  <si>
    <t>530-30170</t>
  </si>
  <si>
    <t>534-02150</t>
  </si>
  <si>
    <t>534-02160</t>
  </si>
  <si>
    <t>534-02210</t>
  </si>
  <si>
    <t>COLLECTED SALES TAX-GARBAGE</t>
  </si>
  <si>
    <t>HEALTH INSURANCE</t>
  </si>
  <si>
    <t>BUDGET</t>
  </si>
  <si>
    <t>2001-2002</t>
  </si>
  <si>
    <t>SEWER WORKER</t>
  </si>
  <si>
    <t>MISCELLANEOUS</t>
  </si>
  <si>
    <t>SUPPLIES &amp; POSTAGE</t>
  </si>
  <si>
    <t>ANIMAL CONTROL</t>
  </si>
  <si>
    <t>PENALTY, INTEREST &amp; COST</t>
  </si>
  <si>
    <t>FRANCHISE FEES</t>
  </si>
  <si>
    <t>RENTAL FEES - COMMUNITY CENTER</t>
  </si>
  <si>
    <t>LIBRARY REVENUE</t>
  </si>
  <si>
    <t>TOTAL REVENUES</t>
  </si>
  <si>
    <t>TOTAL DEPARTMENT EXPENDITURES</t>
  </si>
  <si>
    <t>CONTRACT SERVICES - JUDGE</t>
  </si>
  <si>
    <t>CONTRACT SERVICES - ATTORNEY</t>
  </si>
  <si>
    <t>EMPLOYEE DRUG TESTING</t>
  </si>
  <si>
    <t>503-14110</t>
  </si>
  <si>
    <t>MUNICIPAL COURT</t>
  </si>
  <si>
    <t>COMMUNITY CENTER</t>
  </si>
  <si>
    <t>CITY PROMOTION</t>
  </si>
  <si>
    <t>430-0275</t>
  </si>
  <si>
    <t>REIMB. FROM FIRE DEPT/EMS</t>
  </si>
  <si>
    <t>ADMIN. EXPENSE</t>
  </si>
  <si>
    <t>521-30120</t>
  </si>
  <si>
    <t>4TH OF JULY EXPENSES</t>
  </si>
  <si>
    <t>EXCESS (DEFICIENCY) OF REVENUES</t>
  </si>
  <si>
    <t>OVER (UNDER) EXPENDITURES</t>
  </si>
  <si>
    <t>EMERGENCY MANAGEMENT</t>
  </si>
  <si>
    <t>TOTAL REVENUE</t>
  </si>
  <si>
    <t>TOTAL EXPENSES</t>
  </si>
  <si>
    <t>ADMIN COST TRANSFER TO GF</t>
  </si>
  <si>
    <t>400-0100</t>
  </si>
  <si>
    <t>400-0110</t>
  </si>
  <si>
    <t>400-0120</t>
  </si>
  <si>
    <t>407-0240</t>
  </si>
  <si>
    <t>407-0260</t>
  </si>
  <si>
    <t>412-1090</t>
  </si>
  <si>
    <t>412-1100</t>
  </si>
  <si>
    <t>412-1110</t>
  </si>
  <si>
    <t>502-04110</t>
  </si>
  <si>
    <t>502-11100</t>
  </si>
  <si>
    <t>502-11110</t>
  </si>
  <si>
    <t>502-14100</t>
  </si>
  <si>
    <t>503-01100</t>
  </si>
  <si>
    <t>503-03100</t>
  </si>
  <si>
    <t>503-03110</t>
  </si>
  <si>
    <t>503-04100</t>
  </si>
  <si>
    <t>503-09100</t>
  </si>
  <si>
    <t>503-05120</t>
  </si>
  <si>
    <t>503-05100</t>
  </si>
  <si>
    <t>504-30100</t>
  </si>
  <si>
    <t>PRINCIPAL PAYMENT 2005</t>
  </si>
  <si>
    <t>INTEREST EXPENSE 2005</t>
  </si>
  <si>
    <t>506-06100</t>
  </si>
  <si>
    <t>506-09100</t>
  </si>
  <si>
    <t>507-01100</t>
  </si>
  <si>
    <t>507-01500</t>
  </si>
  <si>
    <t>507-04100</t>
  </si>
  <si>
    <t>507-04110</t>
  </si>
  <si>
    <t>507-04120</t>
  </si>
  <si>
    <t>507-04130</t>
  </si>
  <si>
    <t>507-05100</t>
  </si>
  <si>
    <t>507-05120</t>
  </si>
  <si>
    <t>507-07100</t>
  </si>
  <si>
    <t>507-08100</t>
  </si>
  <si>
    <t>507-09100</t>
  </si>
  <si>
    <t>507-11100</t>
  </si>
  <si>
    <t>507-11110</t>
  </si>
  <si>
    <t>507-12110</t>
  </si>
  <si>
    <t>507-30100</t>
  </si>
  <si>
    <t>508-03100</t>
  </si>
  <si>
    <t>508-03110</t>
  </si>
  <si>
    <t>508-04100</t>
  </si>
  <si>
    <t>508-12100</t>
  </si>
  <si>
    <t>508-12110</t>
  </si>
  <si>
    <t>509-30100</t>
  </si>
  <si>
    <t>509-30120</t>
  </si>
  <si>
    <t>510-01100</t>
  </si>
  <si>
    <t>510-03100</t>
  </si>
  <si>
    <t>510-04100</t>
  </si>
  <si>
    <t>510-04110</t>
  </si>
  <si>
    <t>510-08100</t>
  </si>
  <si>
    <t>510-09110</t>
  </si>
  <si>
    <t>510-11100</t>
  </si>
  <si>
    <t>510-13110</t>
  </si>
  <si>
    <t>510-30100</t>
  </si>
  <si>
    <t>514-02210</t>
  </si>
  <si>
    <t>510-01500</t>
  </si>
  <si>
    <t>511-12110</t>
  </si>
  <si>
    <t>514-01100</t>
  </si>
  <si>
    <t>514-04100</t>
  </si>
  <si>
    <t>514-05100</t>
  </si>
  <si>
    <t>514-07100</t>
  </si>
  <si>
    <t>514-08100</t>
  </si>
  <si>
    <t>514-11100</t>
  </si>
  <si>
    <t>514-11110</t>
  </si>
  <si>
    <t>514-11120</t>
  </si>
  <si>
    <t>514-30100</t>
  </si>
  <si>
    <t>516-01100</t>
  </si>
  <si>
    <t>516-04100</t>
  </si>
  <si>
    <t>516-05100</t>
  </si>
  <si>
    <t>516-05120</t>
  </si>
  <si>
    <t>516-09100</t>
  </si>
  <si>
    <t>516-10100</t>
  </si>
  <si>
    <t>516-11100</t>
  </si>
  <si>
    <t>516-11110</t>
  </si>
  <si>
    <t>516-12110</t>
  </si>
  <si>
    <t>516-30100</t>
  </si>
  <si>
    <t>515-01100</t>
  </si>
  <si>
    <t>515-01500</t>
  </si>
  <si>
    <t>515-04100</t>
  </si>
  <si>
    <t>515-04110</t>
  </si>
  <si>
    <t>515-05100</t>
  </si>
  <si>
    <t>515-05110</t>
  </si>
  <si>
    <t>515-05120</t>
  </si>
  <si>
    <t>515-07100</t>
  </si>
  <si>
    <t>515-11100</t>
  </si>
  <si>
    <t>515-11110</t>
  </si>
  <si>
    <t>515-11130</t>
  </si>
  <si>
    <t>517-04100</t>
  </si>
  <si>
    <t>517-08100</t>
  </si>
  <si>
    <t>517-11110</t>
  </si>
  <si>
    <t>517-12100</t>
  </si>
  <si>
    <t>518-04100</t>
  </si>
  <si>
    <t>518-09100</t>
  </si>
  <si>
    <t>519-30160</t>
  </si>
  <si>
    <t>519-30170</t>
  </si>
  <si>
    <t>519-30180</t>
  </si>
  <si>
    <t>COUNTY CONTRACT</t>
  </si>
  <si>
    <t>523-30125</t>
  </si>
  <si>
    <t>523-30150</t>
  </si>
  <si>
    <t>TRANSFER TO LIBRARY BETTERMENT</t>
  </si>
  <si>
    <t>515-11135</t>
  </si>
  <si>
    <t>516-99100</t>
  </si>
  <si>
    <t>527-01100</t>
  </si>
  <si>
    <t>SALARIES EXPENSE</t>
  </si>
  <si>
    <t>527-02100</t>
  </si>
  <si>
    <t>527-02105</t>
  </si>
  <si>
    <t>MIDICARE EXPENSE</t>
  </si>
  <si>
    <t>527-02106</t>
  </si>
  <si>
    <t>HEALTH INSURANCE EXPENSE</t>
  </si>
  <si>
    <t>527-02107</t>
  </si>
  <si>
    <t>STATE UNEMPLOY TAX EXPENSE</t>
  </si>
  <si>
    <t>527-02150</t>
  </si>
  <si>
    <t>TMRS EXPENSE</t>
  </si>
  <si>
    <t>527-02160</t>
  </si>
  <si>
    <t>WORKER'S COMP</t>
  </si>
  <si>
    <t>527-02210</t>
  </si>
  <si>
    <t>CAPITAL OUTLAY</t>
  </si>
  <si>
    <t>504-30300</t>
  </si>
  <si>
    <t>517-02100</t>
  </si>
  <si>
    <t>517-02105</t>
  </si>
  <si>
    <t>517-02150</t>
  </si>
  <si>
    <t>517-02160</t>
  </si>
  <si>
    <t>WORKMANS COMP</t>
  </si>
  <si>
    <t>517-02107</t>
  </si>
  <si>
    <t>400-0105</t>
  </si>
  <si>
    <t>PRINCIPAL PAYMENT-1994</t>
  </si>
  <si>
    <t>542-80101</t>
  </si>
  <si>
    <t>INTEREST EXPENSE-1994</t>
  </si>
  <si>
    <t>FY 2007-2008</t>
  </si>
  <si>
    <t>FY 2008-2009</t>
  </si>
  <si>
    <t>FRANCHISE FEE-GARBAGE</t>
  </si>
  <si>
    <t>HEADS &amp; BEDS</t>
  </si>
  <si>
    <t>503-01500</t>
  </si>
  <si>
    <t>503-04110</t>
  </si>
  <si>
    <t>506-03000</t>
  </si>
  <si>
    <t>ELECTIONS CONTRACT</t>
  </si>
  <si>
    <t>507-09110</t>
  </si>
  <si>
    <t>STATE EDUCATION MONEY</t>
  </si>
  <si>
    <t xml:space="preserve">LOT MOWING </t>
  </si>
  <si>
    <t>DUES &amp; MEMEBERSHIPS</t>
  </si>
  <si>
    <t>510-09100</t>
  </si>
  <si>
    <t>510-99100</t>
  </si>
  <si>
    <t>515-02106</t>
  </si>
  <si>
    <t>ELECTRICITY (POOL)</t>
  </si>
  <si>
    <t>LEASE COPIER</t>
  </si>
  <si>
    <t>517-01100</t>
  </si>
  <si>
    <t>TEXAS GAS FRANCHISE FEE</t>
  </si>
  <si>
    <t>LINEBARGER/MSB FEES</t>
  </si>
  <si>
    <t>511-12100</t>
  </si>
  <si>
    <t>514-12110</t>
  </si>
  <si>
    <t>510-05120</t>
  </si>
  <si>
    <t>510-12110</t>
  </si>
  <si>
    <t>512-99115</t>
  </si>
  <si>
    <t>BAD DEBT EXPENSE</t>
  </si>
  <si>
    <t>515-01105</t>
  </si>
  <si>
    <t>POOL LABOR</t>
  </si>
  <si>
    <t>515-01106</t>
  </si>
  <si>
    <t>SWIMMING LESSONS INSTRUCTOR</t>
  </si>
  <si>
    <t>515-12110</t>
  </si>
  <si>
    <t>516-14100</t>
  </si>
  <si>
    <t>517-02106</t>
  </si>
  <si>
    <t>517-02210</t>
  </si>
  <si>
    <t>517-12110</t>
  </si>
  <si>
    <t>517-14100</t>
  </si>
  <si>
    <t>ADMIN ASSISTANT</t>
  </si>
  <si>
    <t>TRANSFER DEBT SERVICE I&amp;S</t>
  </si>
  <si>
    <t>TRAVEL/ PHONE</t>
  </si>
  <si>
    <t>CERTIFICATION</t>
  </si>
  <si>
    <t xml:space="preserve">ADJUSTED BASE PAY </t>
  </si>
  <si>
    <t xml:space="preserve">ADJUSTED  PAY </t>
  </si>
  <si>
    <t>MARK</t>
  </si>
  <si>
    <t>MILUM</t>
  </si>
  <si>
    <t>CELINA</t>
  </si>
  <si>
    <t xml:space="preserve">PAM </t>
  </si>
  <si>
    <t>DENNY</t>
  </si>
  <si>
    <t xml:space="preserve">PRISCILLA </t>
  </si>
  <si>
    <t>ESMERALDA</t>
  </si>
  <si>
    <t>MACIAS</t>
  </si>
  <si>
    <t>JAVIER</t>
  </si>
  <si>
    <t>GARCIA</t>
  </si>
  <si>
    <t>JAMES</t>
  </si>
  <si>
    <t>HARRIS</t>
  </si>
  <si>
    <t>CHIEF OF POLICE</t>
  </si>
  <si>
    <t>ASST. CHIEF OF POLICE</t>
  </si>
  <si>
    <t xml:space="preserve">HECTOR </t>
  </si>
  <si>
    <t>GONZALEZ</t>
  </si>
  <si>
    <t>JUAN</t>
  </si>
  <si>
    <t>CASTILLO</t>
  </si>
  <si>
    <t>MORENO</t>
  </si>
  <si>
    <t>JORGE</t>
  </si>
  <si>
    <t>CASTANEDA</t>
  </si>
  <si>
    <t xml:space="preserve">ISABEL </t>
  </si>
  <si>
    <t>JARAMILLO</t>
  </si>
  <si>
    <t>TRONCOSO</t>
  </si>
  <si>
    <t xml:space="preserve">ANGIE </t>
  </si>
  <si>
    <t>LUGO</t>
  </si>
  <si>
    <t>SALAZAR</t>
  </si>
  <si>
    <t>PAM</t>
  </si>
  <si>
    <t>HONORATO</t>
  </si>
  <si>
    <t>MANRRIQUE</t>
  </si>
  <si>
    <t>CUSTOMER SERVICE SUPERVISOR</t>
  </si>
  <si>
    <t>PRISCILLA</t>
  </si>
  <si>
    <t xml:space="preserve"> </t>
  </si>
  <si>
    <t>507-13500</t>
  </si>
  <si>
    <t>PERCENTAGE INCREASE</t>
  </si>
  <si>
    <t>502-99115</t>
  </si>
  <si>
    <t>STRUCTURE INSURANCE</t>
  </si>
  <si>
    <t>PROFESSIONAL SERVICES</t>
  </si>
  <si>
    <t>534-12100</t>
  </si>
  <si>
    <t>534-13120</t>
  </si>
  <si>
    <t>SEWER NEW VEHICLES</t>
  </si>
  <si>
    <t>552-30132</t>
  </si>
  <si>
    <t xml:space="preserve">Guadule </t>
  </si>
  <si>
    <t>GUADALUPE</t>
  </si>
  <si>
    <t>SENIOR CITIZENS COORDINATOR</t>
  </si>
  <si>
    <t>FY 2009-2010</t>
  </si>
  <si>
    <t>GRANT REVENUE - FEMA</t>
  </si>
  <si>
    <t>CDC ADMIN REVENUE</t>
  </si>
  <si>
    <t>444-1002</t>
  </si>
  <si>
    <t>BANDA</t>
  </si>
  <si>
    <t>DANIEL</t>
  </si>
  <si>
    <t>TAMEZ</t>
  </si>
  <si>
    <t>TRANSFERS IN</t>
  </si>
  <si>
    <t>511-02160</t>
  </si>
  <si>
    <t>511-05120</t>
  </si>
  <si>
    <t>516-12100</t>
  </si>
  <si>
    <t>518-14100</t>
  </si>
  <si>
    <t>502-03140</t>
  </si>
  <si>
    <t>COLLECTION AGENCY FEES</t>
  </si>
  <si>
    <t>534-03140</t>
  </si>
  <si>
    <t>529-04110</t>
  </si>
  <si>
    <t>TOWN OF INDIAN LAKE-WATER PURCHSE</t>
  </si>
  <si>
    <t>PROJECTED</t>
  </si>
  <si>
    <t>PARK IMPROVEMENTS</t>
  </si>
  <si>
    <t>BUSINESS INCENTIVE PROGRAM</t>
  </si>
  <si>
    <t>% INCREASE</t>
  </si>
  <si>
    <t xml:space="preserve">     TOTAL REPAIRS &amp; MAINTENANCE-WATER</t>
  </si>
  <si>
    <t>514-13500</t>
  </si>
  <si>
    <t>508-02160</t>
  </si>
  <si>
    <t>515-08100</t>
  </si>
  <si>
    <t>518-05120</t>
  </si>
  <si>
    <t>TELEPHONE/COMMUNICATIONS</t>
  </si>
  <si>
    <t>518-11100</t>
  </si>
  <si>
    <t>MAINTENANCE EQUIPMENT</t>
  </si>
  <si>
    <r>
      <t xml:space="preserve">APPROVED </t>
    </r>
    <r>
      <rPr>
        <b/>
        <i/>
        <sz val="10"/>
        <rFont val="Arial"/>
        <family val="2"/>
      </rPr>
      <t>WATER &amp; SEWER FUND</t>
    </r>
    <r>
      <rPr>
        <sz val="10"/>
        <rFont val="Arial"/>
        <family val="2"/>
      </rPr>
      <t xml:space="preserve"> PERSONNEL BUDGET</t>
    </r>
  </si>
  <si>
    <r>
      <t xml:space="preserve">APPROVED </t>
    </r>
    <r>
      <rPr>
        <b/>
        <i/>
        <sz val="10"/>
        <rFont val="Arial"/>
        <family val="2"/>
      </rPr>
      <t>SENIOR CITIZENS FUND</t>
    </r>
    <r>
      <rPr>
        <sz val="10"/>
        <rFont val="Arial"/>
        <family val="2"/>
      </rPr>
      <t xml:space="preserve"> PERSONNEL BUDGET</t>
    </r>
  </si>
  <si>
    <t>General Fund</t>
  </si>
  <si>
    <t>Mayor</t>
  </si>
  <si>
    <t>City Manager</t>
  </si>
  <si>
    <t>City Secretary</t>
  </si>
  <si>
    <t>City Attorney</t>
  </si>
  <si>
    <t>Chief of Police</t>
  </si>
  <si>
    <t>Library Director</t>
  </si>
  <si>
    <t>City Council</t>
  </si>
  <si>
    <t>Mark W. Milum</t>
  </si>
  <si>
    <t>Public Works Director</t>
  </si>
  <si>
    <t>Angie Lugo</t>
  </si>
  <si>
    <t>Carlos Salazar</t>
  </si>
  <si>
    <t>Municipal Court Judge</t>
  </si>
  <si>
    <t>Gene Daniels</t>
  </si>
  <si>
    <t>Prosecuting Attorney</t>
  </si>
  <si>
    <t>Enrique Juarez</t>
  </si>
  <si>
    <t>Fire Marshall</t>
  </si>
  <si>
    <t>Geronimo Sheldon</t>
  </si>
  <si>
    <t>Los Fresnos Volunteer Fire Dept Chief</t>
  </si>
  <si>
    <t>Los Fresnos Ambulance Service Director</t>
  </si>
  <si>
    <t>HECTOR D</t>
  </si>
  <si>
    <t>HOUSE</t>
  </si>
  <si>
    <t>INFORMATION TECHNOLOGY</t>
  </si>
  <si>
    <t>CONDE</t>
  </si>
  <si>
    <t>ADAN</t>
  </si>
  <si>
    <t>BIANCA</t>
  </si>
  <si>
    <t>CISNEROS</t>
  </si>
  <si>
    <t>COMMUNICATIONS</t>
  </si>
  <si>
    <t>TOTAL ENVIRONMENTAL DEPARTMENT</t>
  </si>
  <si>
    <t>ENVIRONMENTAL OFFICER</t>
  </si>
  <si>
    <t>FY 2010-2011</t>
  </si>
  <si>
    <t>552-</t>
  </si>
  <si>
    <t>BUS - CITY PORTION</t>
  </si>
  <si>
    <t>BUS ROUTE</t>
  </si>
  <si>
    <t>SEWER REVENUE - CITY</t>
  </si>
  <si>
    <t>SEWER REVENUE - INDIAN LAKE</t>
  </si>
  <si>
    <t>SEWER REVENUE - EAST RIO HONDO</t>
  </si>
  <si>
    <t>2010-2011</t>
  </si>
  <si>
    <t>SALE OF ASSETS</t>
  </si>
  <si>
    <t>CAPITAL CONTRIBUTIONS</t>
  </si>
  <si>
    <t>490-8000</t>
  </si>
  <si>
    <t xml:space="preserve">TELEPHONE </t>
  </si>
  <si>
    <t>507-30200</t>
  </si>
  <si>
    <t>ELECTRICITY (BOYS &amp; GIRLS CLUB)</t>
  </si>
  <si>
    <t>515-09100</t>
  </si>
  <si>
    <t>515-13500</t>
  </si>
  <si>
    <t>516-01500</t>
  </si>
  <si>
    <t>OVERTIME SALARIES EXPENSE</t>
  </si>
  <si>
    <t>516-13500</t>
  </si>
  <si>
    <t>517-13500</t>
  </si>
  <si>
    <t>518-13100</t>
  </si>
  <si>
    <t>502-01125</t>
  </si>
  <si>
    <t>502-01130</t>
  </si>
  <si>
    <t>534-01125</t>
  </si>
  <si>
    <t>534-01130</t>
  </si>
  <si>
    <t>539-99999</t>
  </si>
  <si>
    <t>TOTAL CAPITAL CONTRIBUTIONS</t>
  </si>
  <si>
    <t>TRANSFER</t>
  </si>
  <si>
    <t>TOTAL TRANSFER IN</t>
  </si>
  <si>
    <t>TRANSFER IN</t>
  </si>
  <si>
    <t>COURT TECHNOLOGY - ANNUAL MAINTENANCE</t>
  </si>
  <si>
    <t>TECHNOLOGY MAINTENANCE AGREEMENTS</t>
  </si>
  <si>
    <t>GRANT REIMBUSEMENT</t>
  </si>
  <si>
    <t>526-07110</t>
  </si>
  <si>
    <t xml:space="preserve">DIESEL </t>
  </si>
  <si>
    <t>536-07110</t>
  </si>
  <si>
    <t>DIESEL</t>
  </si>
  <si>
    <t xml:space="preserve">     TOTAL INFORMATION TECHNOLOGY</t>
  </si>
  <si>
    <t>HARDWARE</t>
  </si>
  <si>
    <t>SOFTWARE</t>
  </si>
  <si>
    <t>PRINTERS</t>
  </si>
  <si>
    <t>NETWORK</t>
  </si>
  <si>
    <t>INFORMATION TECHNOLOGY COORDINATOR</t>
  </si>
  <si>
    <t>02</t>
  </si>
  <si>
    <t>03</t>
  </si>
  <si>
    <t>07</t>
  </si>
  <si>
    <t>518-07110</t>
  </si>
  <si>
    <t>517-99100</t>
  </si>
  <si>
    <t>PHONE</t>
  </si>
  <si>
    <t>TRAVEL</t>
  </si>
  <si>
    <t>TRANSFER OUT - USDA</t>
  </si>
  <si>
    <t>STREETS</t>
  </si>
  <si>
    <t>525-01100</t>
  </si>
  <si>
    <t>525-01500</t>
  </si>
  <si>
    <t>525-02100</t>
  </si>
  <si>
    <t>525-02105</t>
  </si>
  <si>
    <t>525-02106</t>
  </si>
  <si>
    <t>525-02107</t>
  </si>
  <si>
    <t>525-02150</t>
  </si>
  <si>
    <t>525-02160</t>
  </si>
  <si>
    <t>525-02210</t>
  </si>
  <si>
    <t>525-04100</t>
  </si>
  <si>
    <t>525-05100</t>
  </si>
  <si>
    <t>UTILITIES</t>
  </si>
  <si>
    <t>525-05110</t>
  </si>
  <si>
    <t>525-07100</t>
  </si>
  <si>
    <t>525-12100</t>
  </si>
  <si>
    <t>525-12110</t>
  </si>
  <si>
    <t>525-08100</t>
  </si>
  <si>
    <t>525-01200</t>
  </si>
  <si>
    <t>JANITORIAL EXPENSE</t>
  </si>
  <si>
    <t>515-05115</t>
  </si>
  <si>
    <t>FIELD MAINTENANCE</t>
  </si>
  <si>
    <t>INFORMATION TECHNICIAN SALARY</t>
  </si>
  <si>
    <t>530-99999</t>
  </si>
  <si>
    <t>505-01100</t>
  </si>
  <si>
    <t>505-01500</t>
  </si>
  <si>
    <t>505-02100</t>
  </si>
  <si>
    <t>505-02105</t>
  </si>
  <si>
    <t>505-02106</t>
  </si>
  <si>
    <t>505-02107</t>
  </si>
  <si>
    <t>505-02150</t>
  </si>
  <si>
    <t>505-02160</t>
  </si>
  <si>
    <t>505-02210</t>
  </si>
  <si>
    <t>505-14000</t>
  </si>
  <si>
    <t>505-14010</t>
  </si>
  <si>
    <t>505-14020</t>
  </si>
  <si>
    <t>505-14030</t>
  </si>
  <si>
    <t>505-99100</t>
  </si>
  <si>
    <t>535-01100</t>
  </si>
  <si>
    <t>535-01500</t>
  </si>
  <si>
    <t>535-02100</t>
  </si>
  <si>
    <t>535-02105</t>
  </si>
  <si>
    <t>535-02106</t>
  </si>
  <si>
    <t>535-02107</t>
  </si>
  <si>
    <t>535-02150</t>
  </si>
  <si>
    <t>535-02160</t>
  </si>
  <si>
    <t>535-02210</t>
  </si>
  <si>
    <t>535-14000</t>
  </si>
  <si>
    <t>535-14010</t>
  </si>
  <si>
    <t>535-14020</t>
  </si>
  <si>
    <t>535-14030</t>
  </si>
  <si>
    <t>535-99100</t>
  </si>
  <si>
    <t>Utility Fund</t>
  </si>
  <si>
    <t>407-1045</t>
  </si>
  <si>
    <t>SHOOTING RANGE</t>
  </si>
  <si>
    <t>GARAGE SALE PERMIT</t>
  </si>
  <si>
    <t>PROPOSED AMENDMENT</t>
  </si>
  <si>
    <t>515-11145</t>
  </si>
  <si>
    <t>507-11120</t>
  </si>
  <si>
    <t>MAINTENANCE OF SHOOTING RANGE</t>
  </si>
  <si>
    <t>507-30210</t>
  </si>
  <si>
    <t>552-03125</t>
  </si>
  <si>
    <t>RETAIL COACH</t>
  </si>
  <si>
    <t>FY 2011-2012</t>
  </si>
  <si>
    <t>430-0202</t>
  </si>
  <si>
    <t>FRANCHISE FEE-AT&amp;T LEASE</t>
  </si>
  <si>
    <t>SKYWAY TOWERS LEASE FEE</t>
  </si>
  <si>
    <t>PRISONER HOUSING/CUSTOM DET</t>
  </si>
  <si>
    <t>499-0999</t>
  </si>
  <si>
    <t>CAPITAL LEASE PROCEEDS</t>
  </si>
  <si>
    <t>511-30000</t>
  </si>
  <si>
    <t>514-99100</t>
  </si>
  <si>
    <t>514-01130</t>
  </si>
  <si>
    <t>515-01125</t>
  </si>
  <si>
    <t>515-99100</t>
  </si>
  <si>
    <t xml:space="preserve">     TOTAL SENIOR CITIZENS</t>
  </si>
  <si>
    <t>518-13500</t>
  </si>
  <si>
    <t>ENVIRONMENTAL OFFICER SALARIES</t>
  </si>
  <si>
    <t>TOTAL SALE OF ASSETS</t>
  </si>
  <si>
    <t>400-9995</t>
  </si>
  <si>
    <t xml:space="preserve">     TOTAL WATER &amp; SEWER SALARY</t>
  </si>
  <si>
    <t>DAVID</t>
  </si>
  <si>
    <t>512-05100</t>
  </si>
  <si>
    <t>ELECTRICTY - ILLEGAL DUMPING CAMERAS</t>
  </si>
  <si>
    <t>502-03120</t>
  </si>
  <si>
    <t>VALLEY METRO SERVICE</t>
  </si>
  <si>
    <t>505-13500</t>
  </si>
  <si>
    <t xml:space="preserve">PRINCIPAL 1984 </t>
  </si>
  <si>
    <t>PRINCIPAL 1984A</t>
  </si>
  <si>
    <t>PRINCIPAL 1985</t>
  </si>
  <si>
    <t>PRINCIPAL 2002</t>
  </si>
  <si>
    <t>PRINCIPAL 2008</t>
  </si>
  <si>
    <t>PRINCIPAL 2009-TWDB EDAP $391,000</t>
  </si>
  <si>
    <t>534-05130</t>
  </si>
  <si>
    <t xml:space="preserve">LIFT STATIONS - WATER </t>
  </si>
  <si>
    <t>539-30100</t>
  </si>
  <si>
    <t>AGENT FEES ON SEWER BOND</t>
  </si>
  <si>
    <t>INTEREST EXPENSE - 2009 TWDB EDAP</t>
  </si>
  <si>
    <t>INTEREST EXPENSE - 2002 TWDB EDAP</t>
  </si>
  <si>
    <t>541-80400</t>
  </si>
  <si>
    <t>552-30136</t>
  </si>
  <si>
    <t>TOTAL TRANSFERS</t>
  </si>
  <si>
    <t>NET INCOME (LOSS)</t>
  </si>
  <si>
    <t>EXCESS REVENUES (EXPENSES)</t>
  </si>
  <si>
    <t xml:space="preserve">NET INCOME (LOSS) BEFORE </t>
  </si>
  <si>
    <t xml:space="preserve">ENVIRONMENTAL </t>
  </si>
  <si>
    <t>Prior Yr increase</t>
  </si>
  <si>
    <t>Senior Center</t>
  </si>
  <si>
    <t>Total</t>
  </si>
  <si>
    <t>GARZA</t>
  </si>
  <si>
    <t>CHAPA</t>
  </si>
  <si>
    <t>GRANT REVENUE - LIBRARY</t>
  </si>
  <si>
    <t>515-12100</t>
  </si>
  <si>
    <t>COURT SALARY</t>
  </si>
  <si>
    <t>2012-2013</t>
  </si>
  <si>
    <t>DE LA GARZA</t>
  </si>
  <si>
    <t>RAMIREZ</t>
  </si>
  <si>
    <t>JAVIN</t>
  </si>
  <si>
    <t>MORALES</t>
  </si>
  <si>
    <t>JACQUELINE</t>
  </si>
  <si>
    <t>CASHIER/RECEPTIONIST</t>
  </si>
  <si>
    <t>FY 2012-2013</t>
  </si>
  <si>
    <t>444-1000</t>
  </si>
  <si>
    <t>VALLEY METRO</t>
  </si>
  <si>
    <t>507-01510</t>
  </si>
  <si>
    <t>POLICE OVERTIME - COMMUNITY CENTER</t>
  </si>
  <si>
    <t>507-03115</t>
  </si>
  <si>
    <t>FORENSICS</t>
  </si>
  <si>
    <t>515-13110</t>
  </si>
  <si>
    <t>COMMUNITY PARK IMPROVEMENTS</t>
  </si>
  <si>
    <t>552-14100</t>
  </si>
  <si>
    <t>COMPUTER EQUIPMENT EXPENSE</t>
  </si>
  <si>
    <r>
      <t xml:space="preserve">APPROVED </t>
    </r>
    <r>
      <rPr>
        <b/>
        <i/>
        <sz val="10"/>
        <rFont val="Arial"/>
        <family val="2"/>
      </rPr>
      <t>COMMUNITY DEVELOPMENT CORPORATION FUND</t>
    </r>
    <r>
      <rPr>
        <sz val="10"/>
        <rFont val="Arial"/>
        <family val="2"/>
      </rPr>
      <t xml:space="preserve"> PERSONNEL BUDGET</t>
    </r>
  </si>
  <si>
    <t>CDC</t>
  </si>
  <si>
    <t>INTERN</t>
  </si>
  <si>
    <t>MEDICARE EXPENSE</t>
  </si>
  <si>
    <t>TWC EXPENSE</t>
  </si>
  <si>
    <t>WORKER'S COMP EXPENSE</t>
  </si>
  <si>
    <t xml:space="preserve">CAPITAL LEASE RADIO SYSTEM - PRINCIPAL </t>
  </si>
  <si>
    <t>CAPITAL LEASE RADIO SYSTEM - INTEREST</t>
  </si>
  <si>
    <t>PROCESSING FEES</t>
  </si>
  <si>
    <t>530-30530</t>
  </si>
  <si>
    <t>530-30535</t>
  </si>
  <si>
    <t>METER - PRINCIPAL</t>
  </si>
  <si>
    <t>METER - INTEREST</t>
  </si>
  <si>
    <t>COMMUNITY CENTER BLDG SECUR</t>
  </si>
  <si>
    <t>GRANT REVENUE - OSG OVERTIME</t>
  </si>
  <si>
    <t>KENDRA</t>
  </si>
  <si>
    <t>CHARLIE</t>
  </si>
  <si>
    <t xml:space="preserve">SELINA </t>
  </si>
  <si>
    <t xml:space="preserve">KENDRA </t>
  </si>
  <si>
    <t>POLICE OVERTIME - STONE GARDEN</t>
  </si>
  <si>
    <t>515-01130</t>
  </si>
  <si>
    <t>515-30000</t>
  </si>
  <si>
    <t>518-10100</t>
  </si>
  <si>
    <t>TRANSFER OUT</t>
  </si>
  <si>
    <t>522-30130</t>
  </si>
  <si>
    <t>TRANSFERS OUT</t>
  </si>
  <si>
    <t xml:space="preserve">     TOTAL CDC</t>
  </si>
  <si>
    <t>STONE GARDEN-OVERTIME</t>
  </si>
  <si>
    <t>400-6070</t>
  </si>
  <si>
    <t>502-13500</t>
  </si>
  <si>
    <t>520-11400</t>
  </si>
  <si>
    <t>534-11400</t>
  </si>
  <si>
    <t>534-99115</t>
  </si>
  <si>
    <t>415-1055</t>
  </si>
  <si>
    <t>444-1005</t>
  </si>
  <si>
    <t>510-07100</t>
  </si>
  <si>
    <t>517-01500</t>
  </si>
  <si>
    <t>507-01515</t>
  </si>
  <si>
    <t>525-04115</t>
  </si>
  <si>
    <t>OTHER SUPPLIES</t>
  </si>
  <si>
    <t>525-11110</t>
  </si>
  <si>
    <t>MISC. FEES &amp; SERVICES</t>
  </si>
  <si>
    <t>FY 2014-2015</t>
  </si>
  <si>
    <t>PEG CAPITAL FEE</t>
  </si>
  <si>
    <t>415-1050</t>
  </si>
  <si>
    <t>OTHER FINANCING SOURCES</t>
  </si>
  <si>
    <t>444-1006</t>
  </si>
  <si>
    <t>CONTRIBUTED CAPITAL</t>
  </si>
  <si>
    <t>POOL ADMISSION/RENTAL</t>
  </si>
  <si>
    <t>490-7527</t>
  </si>
  <si>
    <t>490-7545</t>
  </si>
  <si>
    <t>GRANT REVENUE - VEST BVP</t>
  </si>
  <si>
    <t>490-7575</t>
  </si>
  <si>
    <t>REIMB FROM CDC</t>
  </si>
  <si>
    <t>BREATHALYZER CONTRACT</t>
  </si>
  <si>
    <t>507-01520</t>
  </si>
  <si>
    <t>514-09100</t>
  </si>
  <si>
    <t>TECHNOLOGY MAINTENANCE AGREEMENT</t>
  </si>
  <si>
    <t>518-30250</t>
  </si>
  <si>
    <t>TRAVEL EXPENSE</t>
  </si>
  <si>
    <t>COMMUNITY HEALTH</t>
  </si>
  <si>
    <t>523-01500</t>
  </si>
  <si>
    <t>STATE UNEMPLOYMENT TAX EXPENSE</t>
  </si>
  <si>
    <t>523-04100</t>
  </si>
  <si>
    <t>523-05120</t>
  </si>
  <si>
    <t>523-09100</t>
  </si>
  <si>
    <t>MENTAL TASK FORCE</t>
  </si>
  <si>
    <t>524-01100</t>
  </si>
  <si>
    <t>527-11160</t>
  </si>
  <si>
    <t>WATER HYDRANT MAINT</t>
  </si>
  <si>
    <t>WATER TANK INSP. &amp; CLEANING</t>
  </si>
  <si>
    <t>541-80115</t>
  </si>
  <si>
    <t>541-80300</t>
  </si>
  <si>
    <t>532-80100</t>
  </si>
  <si>
    <t>532-80105</t>
  </si>
  <si>
    <t>532-80110</t>
  </si>
  <si>
    <t>532-80112</t>
  </si>
  <si>
    <t>PENALTY, INTEREST &amp; COSTS</t>
  </si>
  <si>
    <t>2014-2015</t>
  </si>
  <si>
    <t>513-04100</t>
  </si>
  <si>
    <t>513-09100</t>
  </si>
  <si>
    <t>513-10100</t>
  </si>
  <si>
    <t>TOTAL DEPARTMENT REVENUE</t>
  </si>
  <si>
    <t>VETERANS MEMORIAL - SPONSORS</t>
  </si>
  <si>
    <t>VETERANS MEMORIAL - REGISTRANTS</t>
  </si>
  <si>
    <t>SWIMMING LESSONS INCOME</t>
  </si>
  <si>
    <t>JANITORIAL SUPPLIES</t>
  </si>
  <si>
    <t>507-03100</t>
  </si>
  <si>
    <t>ENVIRONMENTAL CHANGES</t>
  </si>
  <si>
    <t>523-01105</t>
  </si>
  <si>
    <t>ADMIN EXPENSE</t>
  </si>
  <si>
    <t>524-01500</t>
  </si>
  <si>
    <t>524-02100</t>
  </si>
  <si>
    <t>524-02105</t>
  </si>
  <si>
    <t>524-02106</t>
  </si>
  <si>
    <t>524-02150</t>
  </si>
  <si>
    <t>524-02160</t>
  </si>
  <si>
    <t>524-02210</t>
  </si>
  <si>
    <t>OTHER EXPENSE</t>
  </si>
  <si>
    <t>CERDA</t>
  </si>
  <si>
    <t>RODOLFO</t>
  </si>
  <si>
    <t>TOTAL MENTAL DEPARTMENT</t>
  </si>
  <si>
    <t>TOTAL DSRIP COMMUNITY HEALTH DEPARTMENT</t>
  </si>
  <si>
    <t>CHRISTINE</t>
  </si>
  <si>
    <t>DE LA ROSA</t>
  </si>
  <si>
    <t>EVEYLYN</t>
  </si>
  <si>
    <t>AMADOR</t>
  </si>
  <si>
    <t xml:space="preserve">APRIL </t>
  </si>
  <si>
    <t xml:space="preserve">EDWIN </t>
  </si>
  <si>
    <t>JOSEPH</t>
  </si>
  <si>
    <t>MARTINEZ</t>
  </si>
  <si>
    <t>DSRIP COMMUNITY HEALTH</t>
  </si>
  <si>
    <t>COMMUNITY HEATH WORKER</t>
  </si>
  <si>
    <t>PARKS - POOL LABOR</t>
  </si>
  <si>
    <t>LIFEGUARD</t>
  </si>
  <si>
    <t>TOTAL PARKS - POOL LABOR DEPARTMENT</t>
  </si>
  <si>
    <t>MENTAL HEALTH OFFICER</t>
  </si>
  <si>
    <t xml:space="preserve">DONNA </t>
  </si>
  <si>
    <t>OWEN</t>
  </si>
  <si>
    <t xml:space="preserve">AUGUSTINE </t>
  </si>
  <si>
    <t>LOPEZ</t>
  </si>
  <si>
    <t>542-80200</t>
  </si>
  <si>
    <t>542-80201</t>
  </si>
  <si>
    <t>543-80210</t>
  </si>
  <si>
    <t>PRINCIPAL PAYMENT 2014</t>
  </si>
  <si>
    <t>INTEREST EXPENSE 2014</t>
  </si>
  <si>
    <t>REIMB FOR MENTAL HEALTH OFFICER</t>
  </si>
  <si>
    <t xml:space="preserve">CAPITAL LEASE STREET SWEEPER - PRINCIPAL </t>
  </si>
  <si>
    <t>CAPITAL LEASE STREET SWEEPER - INTEREST</t>
  </si>
  <si>
    <t>524-02107</t>
  </si>
  <si>
    <t>514-30200</t>
  </si>
  <si>
    <t>514-30210</t>
  </si>
  <si>
    <t>DEPRECIATION</t>
  </si>
  <si>
    <t>DEPRECIATION EXPENSE SEWER</t>
  </si>
  <si>
    <t>DEPRECIATION EXPENSE WATER</t>
  </si>
  <si>
    <t xml:space="preserve">     TOTAL DEPRECIATION EXPENSE</t>
  </si>
  <si>
    <t xml:space="preserve">DEPRECIATION, PRINCIPAL DEBT &amp; TRANSFERS </t>
  </si>
  <si>
    <t xml:space="preserve">TOTAL DEPRECIATION, PRINCIPAL DEBT &amp; TRANSFERS </t>
  </si>
  <si>
    <t>TRANSFER OUT - TWDB ($4,975,000)</t>
  </si>
  <si>
    <t>ADMINSTRATIVE ASSISTANT</t>
  </si>
  <si>
    <t>REIMBURSEMENT - DSRIP COMMUNITY HEALTH</t>
  </si>
  <si>
    <t>ORDINANCE ENFORCEMENT</t>
  </si>
  <si>
    <t>3/5</t>
  </si>
  <si>
    <t>ELECTRICAL &amp; PUMP MAINTENACE</t>
  </si>
  <si>
    <t>514-01125</t>
  </si>
  <si>
    <t>524-09100</t>
  </si>
  <si>
    <t>524-99100</t>
  </si>
  <si>
    <t>523-13500</t>
  </si>
  <si>
    <t>TRAVEL/SEMINARS</t>
  </si>
  <si>
    <t>JUNE 2015</t>
  </si>
  <si>
    <t>ADMIN FEES - GENERAL ELECTION</t>
  </si>
  <si>
    <t>ALARM REGISTRATION FEES</t>
  </si>
  <si>
    <t>490-7530</t>
  </si>
  <si>
    <t>REIMBURSEMENT - LIBRARY</t>
  </si>
  <si>
    <t>GRANT REVENUE - LBSP</t>
  </si>
  <si>
    <t>490-7556</t>
  </si>
  <si>
    <t>GRANT REVENUE - OOG DJ 283230</t>
  </si>
  <si>
    <t>490-7559</t>
  </si>
  <si>
    <t>GRANT REVENUE - LRGVDC SOLID WASTE</t>
  </si>
  <si>
    <t>407-0255</t>
  </si>
  <si>
    <t>SCOFF LAW REVENUE</t>
  </si>
  <si>
    <r>
      <t xml:space="preserve">PROPOSED </t>
    </r>
    <r>
      <rPr>
        <b/>
        <i/>
        <sz val="10"/>
        <rFont val="Arial"/>
        <family val="2"/>
      </rPr>
      <t>GENERAL FUND</t>
    </r>
    <r>
      <rPr>
        <sz val="10"/>
        <rFont val="Arial"/>
        <family val="2"/>
      </rPr>
      <t xml:space="preserve"> PERSONNEL BUDGET</t>
    </r>
  </si>
  <si>
    <t>CITY MANAGER</t>
  </si>
  <si>
    <t>ESQUIVEL</t>
  </si>
  <si>
    <t>NORMAN</t>
  </si>
  <si>
    <t>SALCEDO</t>
  </si>
  <si>
    <t>POOL COORDINATOR</t>
  </si>
  <si>
    <t>MARIA</t>
  </si>
  <si>
    <t>ESCOBEDO</t>
  </si>
  <si>
    <t xml:space="preserve">RAUL </t>
  </si>
  <si>
    <t>CASHIER/RECEPTIONIST PART-TIME</t>
  </si>
  <si>
    <t>507-04115</t>
  </si>
  <si>
    <t>EMPLOYEE SCREENINGS</t>
  </si>
  <si>
    <t>507-03110</t>
  </si>
  <si>
    <t>ATTORNEY FEES</t>
  </si>
  <si>
    <t>509-03000</t>
  </si>
  <si>
    <t>CONTRACT - BUILDING INSPECTOR</t>
  </si>
  <si>
    <t>512-04100</t>
  </si>
  <si>
    <t>512-13500</t>
  </si>
  <si>
    <t>TEMP SERVICES</t>
  </si>
  <si>
    <t>512-08100</t>
  </si>
  <si>
    <t>TIRZ CITY REVENUE</t>
  </si>
  <si>
    <t>TIRZ COUNTY REVENUE</t>
  </si>
  <si>
    <t>516-13100</t>
  </si>
  <si>
    <t xml:space="preserve">MATCH TXDOT - SIDEWALK </t>
  </si>
  <si>
    <t>507-01108</t>
  </si>
  <si>
    <t>COVERAGE STIPENDS</t>
  </si>
  <si>
    <t>507-01525</t>
  </si>
  <si>
    <t>OVERTIME - LBSP</t>
  </si>
  <si>
    <t>515-01505</t>
  </si>
  <si>
    <t>OVERTIME EXPENSE - POOL</t>
  </si>
  <si>
    <t>515-30100</t>
  </si>
  <si>
    <t>FUN SKATE CAMP</t>
  </si>
  <si>
    <t>3/4</t>
  </si>
  <si>
    <t>TRANSFER OUT - TWDB CWSRF</t>
  </si>
  <si>
    <t>TRANSFER OUT - TWDB DWSRF</t>
  </si>
  <si>
    <t>STREET PROJECT</t>
  </si>
  <si>
    <t>3% increase</t>
  </si>
  <si>
    <t>507-04145</t>
  </si>
  <si>
    <t>VEST BVP GRANT EXPENSE</t>
  </si>
  <si>
    <t>MAY 2016</t>
  </si>
  <si>
    <t>FISCAL YEAR ENDING SEPTEMBER 30, 2017</t>
  </si>
  <si>
    <t>510-13500</t>
  </si>
  <si>
    <t>512-06100</t>
  </si>
  <si>
    <t>514-13515</t>
  </si>
  <si>
    <t>514-13520</t>
  </si>
  <si>
    <t>FYE 2015-16     BASE PAY</t>
  </si>
  <si>
    <t>DEBRA</t>
  </si>
  <si>
    <t>RATLIFF</t>
  </si>
  <si>
    <t>OMAR</t>
  </si>
  <si>
    <t>CANTU</t>
  </si>
  <si>
    <t xml:space="preserve">KEVIN </t>
  </si>
  <si>
    <t>ROCHA</t>
  </si>
  <si>
    <t>GINA</t>
  </si>
  <si>
    <t xml:space="preserve">JAIME </t>
  </si>
  <si>
    <t xml:space="preserve">MELISSA </t>
  </si>
  <si>
    <t>SERGEANT</t>
  </si>
  <si>
    <t>ASST CITY MANAGER/FINANCE DIRECTOR</t>
  </si>
  <si>
    <t>430-0205</t>
  </si>
  <si>
    <t>MIXED BEVERAGE TAXES</t>
  </si>
  <si>
    <t>512-03100</t>
  </si>
  <si>
    <t>552-30138</t>
  </si>
  <si>
    <t>WALMART 380 AGREEMENT</t>
  </si>
  <si>
    <t>HEALTH INSPECTIONS</t>
  </si>
  <si>
    <t>POOL RENTAL</t>
  </si>
  <si>
    <t>380 AGREEMENT- WALMART</t>
  </si>
  <si>
    <t>502-99105</t>
  </si>
  <si>
    <t>519-30280</t>
  </si>
  <si>
    <t>FEMA-HAZARD MITIGATION PLAN</t>
  </si>
  <si>
    <t xml:space="preserve">PROFESSIONAL SERVICES </t>
  </si>
  <si>
    <t xml:space="preserve">TIRZ </t>
  </si>
  <si>
    <t>CONTRACTED GARGAGE COLLECTION</t>
  </si>
  <si>
    <t>PARKS</t>
  </si>
  <si>
    <t xml:space="preserve"> JUNE 2016</t>
  </si>
  <si>
    <t>PART TIME TRAINER/10 HRS</t>
  </si>
  <si>
    <t>VACANT</t>
  </si>
  <si>
    <t>PLANT MANAGER</t>
  </si>
  <si>
    <t>FIRE HYDRANT REPAIRS</t>
  </si>
  <si>
    <t>COMMUNICATIONS/ENVIRONMENTAL OFFICER</t>
  </si>
  <si>
    <t>PROFESSIONAL SERVICE - IT</t>
  </si>
  <si>
    <t>PROFESSIONAL SERVICES - IT</t>
  </si>
  <si>
    <t>412-1120</t>
  </si>
  <si>
    <t>RECYCLE REVENUE</t>
  </si>
  <si>
    <t>GRANT REVENUE - TEXAS LIBRARY</t>
  </si>
  <si>
    <t>CREDIT CARD PROCESSING FEES</t>
  </si>
  <si>
    <t>407-1071</t>
  </si>
  <si>
    <t>SERVICE CONTRACT-INDIAN LAKE DISPATCH</t>
  </si>
  <si>
    <t>502-30250</t>
  </si>
  <si>
    <t>502-05130</t>
  </si>
  <si>
    <t>503-05130</t>
  </si>
  <si>
    <t>503-30110</t>
  </si>
  <si>
    <t>CREDIT CARD SERVICE CHARGE</t>
  </si>
  <si>
    <t>UTILITIES - POLICE</t>
  </si>
  <si>
    <t>507-05130</t>
  </si>
  <si>
    <t>507-05135</t>
  </si>
  <si>
    <t>UTILITIES - TRAINING CENTER</t>
  </si>
  <si>
    <t>507-13110</t>
  </si>
  <si>
    <t>NEW POLICE EQUIPMENT</t>
  </si>
  <si>
    <t>507-30101</t>
  </si>
  <si>
    <t>OPERATION STONE GARDEN - RADIOS</t>
  </si>
  <si>
    <t>UTILITIES - FIRE</t>
  </si>
  <si>
    <t>508-05130</t>
  </si>
  <si>
    <t>515-05130</t>
  </si>
  <si>
    <t>UTILITIES - COMMUNITY PARK</t>
  </si>
  <si>
    <t>515-05131</t>
  </si>
  <si>
    <t>UTILITIES - NATURE PARK</t>
  </si>
  <si>
    <t>UTILITIES - POOL</t>
  </si>
  <si>
    <t>UTILITIES - BOYS &amp; GIRLS CLUB</t>
  </si>
  <si>
    <t>CONTRIBUTIONS</t>
  </si>
  <si>
    <t>MAINTENANCE OF BUILDING</t>
  </si>
  <si>
    <t>518-01100</t>
  </si>
  <si>
    <t>509-10100</t>
  </si>
  <si>
    <t>LEASE BUYOUT</t>
  </si>
  <si>
    <t>POOL CHEMICALS</t>
  </si>
  <si>
    <t>502-30115</t>
  </si>
  <si>
    <t>CREDIT CARD EXPENSE</t>
  </si>
  <si>
    <t>TRANSFER OUT - DEBT SERVICE</t>
  </si>
  <si>
    <t>PRINCIPAL PAYMENT 2017</t>
  </si>
  <si>
    <t>INTEREST EXPENSE 2017</t>
  </si>
  <si>
    <t>BOND PMTS TSF FROM TIRZ</t>
  </si>
  <si>
    <t>534-30115</t>
  </si>
  <si>
    <t>534-30250</t>
  </si>
  <si>
    <t>TIRZ BOND PAYMENT</t>
  </si>
  <si>
    <t>534-05135</t>
  </si>
  <si>
    <t>LIFT STATIONS - UTILITES</t>
  </si>
  <si>
    <t>505-02220</t>
  </si>
  <si>
    <t>515-11120</t>
  </si>
  <si>
    <t>Hector Gonzalez</t>
  </si>
  <si>
    <t>508-30200</t>
  </si>
  <si>
    <t>511-30200</t>
  </si>
  <si>
    <t>Pablo A. Garza</t>
  </si>
  <si>
    <t xml:space="preserve">CONTRACT LABOR </t>
  </si>
  <si>
    <t xml:space="preserve">Jacqueline Moya </t>
  </si>
  <si>
    <t>PROPOSED</t>
  </si>
  <si>
    <t xml:space="preserve">Director of Finance </t>
  </si>
  <si>
    <t>490-7505</t>
  </si>
  <si>
    <t xml:space="preserve">REIMBURSEMENT - FORENSICS EXAMS </t>
  </si>
  <si>
    <t xml:space="preserve">APPROVED BUDGET </t>
  </si>
  <si>
    <t xml:space="preserve">POOL RENTAL DEPOSIT </t>
  </si>
  <si>
    <t>516-30105</t>
  </si>
  <si>
    <t xml:space="preserve">BOOKS- TEXAS LIBRARY ASSOCIATION </t>
  </si>
  <si>
    <t>503-99100</t>
  </si>
  <si>
    <t xml:space="preserve">MISCELLANEOUS </t>
  </si>
  <si>
    <t>508-05120</t>
  </si>
  <si>
    <t xml:space="preserve">CONTRACT LABOR - OVERTIME </t>
  </si>
  <si>
    <t>CONTRACT LABOR</t>
  </si>
  <si>
    <t xml:space="preserve">CONTRACT LABOR- OVERTIME </t>
  </si>
  <si>
    <t>515-05116</t>
  </si>
  <si>
    <t xml:space="preserve">ELECTRICITY ALAMO WHSE </t>
  </si>
  <si>
    <t>515-05135</t>
  </si>
  <si>
    <t xml:space="preserve">UTILITIES - ALAMO WHSE </t>
  </si>
  <si>
    <t>515-02210</t>
  </si>
  <si>
    <t>DIESEL FUEL - GENERATOR</t>
  </si>
  <si>
    <t xml:space="preserve">COORDINATOR SALARY </t>
  </si>
  <si>
    <t>518-02100</t>
  </si>
  <si>
    <t>518-02105</t>
  </si>
  <si>
    <t>518-02107</t>
  </si>
  <si>
    <t>518-02150</t>
  </si>
  <si>
    <t>518-02160</t>
  </si>
  <si>
    <t>TOTAL CONTRIBUTIONS- SALE OF ASSETS</t>
  </si>
  <si>
    <t xml:space="preserve">MISCELLANEOUS INCOME </t>
  </si>
  <si>
    <t>BOND PMTS TSF FROM GF</t>
  </si>
  <si>
    <t>542-80301</t>
  </si>
  <si>
    <t>542-80310</t>
  </si>
  <si>
    <t>515-11136</t>
  </si>
  <si>
    <t>ALAMO WHSE MAINTENANCE</t>
  </si>
  <si>
    <t>525-05130</t>
  </si>
  <si>
    <t>515-05132</t>
  </si>
  <si>
    <t>515-05136</t>
  </si>
  <si>
    <t>502-02140</t>
  </si>
  <si>
    <t>OPEB EXPENSE - WATER</t>
  </si>
  <si>
    <t>534-02140</t>
  </si>
  <si>
    <t>OPEB EXPENSE - SEWER</t>
  </si>
  <si>
    <t>552-30316</t>
  </si>
  <si>
    <t>GRANTS - COMMUNITY HEALTH</t>
  </si>
  <si>
    <t>502-99998</t>
  </si>
  <si>
    <t>SERIES 2018 PRINCIPAL</t>
  </si>
  <si>
    <t>502-99999</t>
  </si>
  <si>
    <t>SERIES 2018 INTEREST</t>
  </si>
  <si>
    <t>GRANT REVENUE - TPW 54-000171</t>
  </si>
  <si>
    <t>490-7552</t>
  </si>
  <si>
    <t xml:space="preserve">GRANT REVENUE - OSG VEHICLE </t>
  </si>
  <si>
    <t>PROPOSED DISTRIBUTION OF TAX RATE &amp; REVENUE - 2019-2020</t>
  </si>
  <si>
    <t>542-80311</t>
  </si>
  <si>
    <t>INTEREST EXPENSE 2018</t>
  </si>
  <si>
    <t>542-80312</t>
  </si>
  <si>
    <t>PRINCIPAL PAYMENT 2018</t>
  </si>
  <si>
    <t>535-13500</t>
  </si>
  <si>
    <t xml:space="preserve">PARKS </t>
  </si>
  <si>
    <t xml:space="preserve">BUSINESS RECRUIT AND DEVELOPMENT </t>
  </si>
  <si>
    <t>552-30319</t>
  </si>
  <si>
    <t>TRANSFER OUT - DWSRF 2020</t>
  </si>
  <si>
    <t>552-30320</t>
  </si>
  <si>
    <t>TRANSFER OUT - CWSRF 2020</t>
  </si>
  <si>
    <t xml:space="preserve">Andres Lopez </t>
  </si>
  <si>
    <t xml:space="preserve">Ray Ortiz </t>
  </si>
  <si>
    <t xml:space="preserve">Juan Munoz </t>
  </si>
  <si>
    <t>PROPOSED DISTRIBUTION OF TAX RATE &amp; REVENUE - 2020-2021</t>
  </si>
  <si>
    <t>407-0242</t>
  </si>
  <si>
    <t>LOCAL TRUANCY PREVENTION FUND</t>
  </si>
  <si>
    <t>407-0243</t>
  </si>
  <si>
    <t>LOCAL MUNICIPAL JURY FUND</t>
  </si>
  <si>
    <t>VALLEY LEGACY GRANT</t>
  </si>
  <si>
    <t>507-12100</t>
  </si>
  <si>
    <t>507-99200</t>
  </si>
  <si>
    <t>CHILD SAFETY PROGRAM</t>
  </si>
  <si>
    <t>407-0291</t>
  </si>
  <si>
    <t>CHILD SAFETY FEE CREDIT</t>
  </si>
  <si>
    <t>510-06100</t>
  </si>
  <si>
    <t>510-11110</t>
  </si>
  <si>
    <t>514-01500</t>
  </si>
  <si>
    <t>514-10100</t>
  </si>
  <si>
    <t>502-99101</t>
  </si>
  <si>
    <t>EVENTS</t>
  </si>
  <si>
    <t>523-04101</t>
  </si>
  <si>
    <t>TWC FRANCHISE FEE</t>
  </si>
  <si>
    <t>534-30120</t>
  </si>
  <si>
    <t>VETERANS MEMORIAL RUN</t>
  </si>
  <si>
    <t>535-02220</t>
  </si>
  <si>
    <t>BUDGET INCREASE COMPARED WITH FYE 2019-2020</t>
  </si>
  <si>
    <r>
      <t>APPROVED</t>
    </r>
    <r>
      <rPr>
        <b/>
        <i/>
        <sz val="14"/>
        <rFont val="Antique Olive"/>
        <family val="2"/>
      </rPr>
      <t xml:space="preserve"> GENERAL FUND</t>
    </r>
    <r>
      <rPr>
        <sz val="14"/>
        <rFont val="Antique Olive"/>
        <family val="2"/>
      </rPr>
      <t xml:space="preserve"> BUDGET</t>
    </r>
  </si>
  <si>
    <r>
      <t xml:space="preserve">APPROVED </t>
    </r>
    <r>
      <rPr>
        <b/>
        <i/>
        <sz val="14"/>
        <rFont val="Antique Olive"/>
        <family val="2"/>
      </rPr>
      <t>DEBT FUND</t>
    </r>
    <r>
      <rPr>
        <sz val="14"/>
        <rFont val="Antique Olive"/>
        <family val="2"/>
      </rPr>
      <t xml:space="preserve"> BUDGET</t>
    </r>
  </si>
  <si>
    <r>
      <t xml:space="preserve">APPROVED </t>
    </r>
    <r>
      <rPr>
        <b/>
        <i/>
        <sz val="14"/>
        <rFont val="Antique Olive"/>
        <family val="2"/>
      </rPr>
      <t>TIRZ FUND</t>
    </r>
    <r>
      <rPr>
        <sz val="14"/>
        <rFont val="Antique Olive"/>
        <family val="2"/>
      </rPr>
      <t xml:space="preserve"> BUDGET</t>
    </r>
  </si>
  <si>
    <r>
      <t xml:space="preserve">APPROVED </t>
    </r>
    <r>
      <rPr>
        <b/>
        <i/>
        <sz val="14"/>
        <rFont val="Antique Olive"/>
        <family val="2"/>
      </rPr>
      <t>UTILITY FUND</t>
    </r>
    <r>
      <rPr>
        <sz val="14"/>
        <rFont val="Book Antiqua"/>
        <family val="1"/>
      </rPr>
      <t xml:space="preserve"> BUDGET</t>
    </r>
  </si>
  <si>
    <r>
      <t xml:space="preserve">APPROVED </t>
    </r>
    <r>
      <rPr>
        <b/>
        <i/>
        <sz val="14"/>
        <rFont val="Antique Olive"/>
        <family val="2"/>
      </rPr>
      <t>COMMUNITY DEVELOPMENT CORPORATION</t>
    </r>
    <r>
      <rPr>
        <b/>
        <sz val="14"/>
        <rFont val="Antique Olive"/>
        <family val="2"/>
      </rPr>
      <t xml:space="preserve"> </t>
    </r>
    <r>
      <rPr>
        <sz val="14"/>
        <rFont val="Antique Olive"/>
        <family val="2"/>
      </rPr>
      <t>BUDGET</t>
    </r>
  </si>
  <si>
    <r>
      <t xml:space="preserve">APPROVED </t>
    </r>
    <r>
      <rPr>
        <b/>
        <i/>
        <sz val="14"/>
        <rFont val="Antique Olive"/>
        <family val="2"/>
      </rPr>
      <t>SENIOR CITIZENS</t>
    </r>
    <r>
      <rPr>
        <sz val="14"/>
        <rFont val="Antique Olive"/>
        <family val="2"/>
      </rPr>
      <t xml:space="preserve"> BUDGET</t>
    </r>
  </si>
  <si>
    <t>CORONAVIRUS RELIEF FUND</t>
  </si>
  <si>
    <t>560-01100</t>
  </si>
  <si>
    <t>SALARIES &amp; BENEFITS - HDP</t>
  </si>
  <si>
    <t>560-04100</t>
  </si>
  <si>
    <t>SUPPLIES - HDP</t>
  </si>
  <si>
    <t>560-13500</t>
  </si>
  <si>
    <t>EQUIPMENT - HDP</t>
  </si>
  <si>
    <t>560-99100</t>
  </si>
  <si>
    <t>OTHER - HDP</t>
  </si>
  <si>
    <t>SERVICES &amp; MISCELLANEOUS-WATER</t>
  </si>
  <si>
    <t>BOND INDEBTEDNESS &amp; OTHER DEBT-WATER</t>
  </si>
  <si>
    <t>SERVICES &amp; MISCELLANEOUS-SEWER</t>
  </si>
  <si>
    <t>BOND INDEBTEDNESS &amp; OTHER DEBT-SEWER</t>
  </si>
  <si>
    <t>INFORMATION TECHNOLOGY-WATER</t>
  </si>
  <si>
    <t>INFORMATION TECHNOLOGY-SEWER</t>
  </si>
  <si>
    <t>OPERATIONAL REVENUE</t>
  </si>
  <si>
    <t>TOTAL OPERATIONAL REVENUE</t>
  </si>
  <si>
    <t>OPERATIONAL EXPENDITURES</t>
  </si>
  <si>
    <t>TOTAL OPERATIONAL EXPENDITURES</t>
  </si>
  <si>
    <t xml:space="preserve">     TOTAL SALARIES &amp; BENEFITS-WATER</t>
  </si>
  <si>
    <t xml:space="preserve">     TOTAL SERVICES &amp; MISCELLANEOUS-WATER</t>
  </si>
  <si>
    <t xml:space="preserve">     TOTAL MATERIALS &amp; SUPPLIES-WATER</t>
  </si>
  <si>
    <t>TOTAL INFORMATION TECHNOLOGY-WATER</t>
  </si>
  <si>
    <t xml:space="preserve">     TOTAL CAPITAL OUTLAY-WATER</t>
  </si>
  <si>
    <t xml:space="preserve">     TOTAL BOND INDEBTNESS &amp; OTHER DEBT-WATER</t>
  </si>
  <si>
    <t xml:space="preserve">     TOTAL SALARIES &amp; BENEFITS-SEWER</t>
  </si>
  <si>
    <t xml:space="preserve">     TOTAL MATERIALS &amp; SUPPLIES-SEWER</t>
  </si>
  <si>
    <t xml:space="preserve">     TOTAL REPAIRS &amp; MAINTENANCE-SEWER</t>
  </si>
  <si>
    <t>TOTAL INFORMATION TECHNOLOGY-SEWER</t>
  </si>
  <si>
    <t xml:space="preserve">     TOTAL SERVICES &amp; MISCELLANEOUS-SEWER</t>
  </si>
  <si>
    <t xml:space="preserve">     TOTAL CAPITAL OUTLAY-SEWER</t>
  </si>
  <si>
    <t xml:space="preserve">     TOTAL BOND INDEBTNESS &amp; OTHER DEBT-SEWER</t>
  </si>
  <si>
    <t>SERVICES &amp; MISCELLANEOUS</t>
  </si>
  <si>
    <t xml:space="preserve">ADMINISTRATION </t>
  </si>
  <si>
    <t xml:space="preserve">MUNICIPAL COURT </t>
  </si>
  <si>
    <t xml:space="preserve">TAX ASSESSOR-COLLECTOR </t>
  </si>
  <si>
    <t xml:space="preserve">ELECTIONS </t>
  </si>
  <si>
    <t xml:space="preserve">OTHER GENERAL </t>
  </si>
  <si>
    <t xml:space="preserve">POLICE </t>
  </si>
  <si>
    <t xml:space="preserve">FIRE </t>
  </si>
  <si>
    <t xml:space="preserve">EMERGENCY MEDICAL SERVICE </t>
  </si>
  <si>
    <t xml:space="preserve">ENGINEERING </t>
  </si>
  <si>
    <t xml:space="preserve">STREETS </t>
  </si>
  <si>
    <t>GARBAGE</t>
  </si>
  <si>
    <t xml:space="preserve">LIBRARY </t>
  </si>
  <si>
    <t xml:space="preserve">COMMUNITY CENTER </t>
  </si>
  <si>
    <t xml:space="preserve">STORMWATER </t>
  </si>
  <si>
    <t xml:space="preserve">CITY PROMOTION </t>
  </si>
  <si>
    <t xml:space="preserve">INFORMATION TECHNOLOGY </t>
  </si>
  <si>
    <t>REVENUE</t>
  </si>
  <si>
    <t>FY 2021-2022</t>
  </si>
  <si>
    <t>VEST BVP GRANT</t>
  </si>
  <si>
    <t>ANIMAL SHELTER</t>
  </si>
  <si>
    <t>REPAIRS TO VEHICLES</t>
  </si>
  <si>
    <t>518-04112</t>
  </si>
  <si>
    <t>LEASE OF EQUIPMENT</t>
  </si>
  <si>
    <t>CONTRACT-IT SERVICES</t>
  </si>
  <si>
    <t>CURRENT PROPERTY TAXES</t>
  </si>
  <si>
    <t>TELEPHONE/INTERNET</t>
  </si>
  <si>
    <t xml:space="preserve">REPAIRS TO VEHICLES </t>
  </si>
  <si>
    <t>THANKSGIVING/CHRISTMAS PARTY</t>
  </si>
  <si>
    <t>UTILITIES-SENIOR CENTER</t>
  </si>
  <si>
    <t>FUEL</t>
  </si>
  <si>
    <t>VEHICLE REPAIRS &amp; MAINTENANCE</t>
  </si>
  <si>
    <t>502-30120</t>
  </si>
  <si>
    <t>530-30525</t>
  </si>
  <si>
    <t>SRWA - EXCESS WATER CONSUMPTION</t>
  </si>
  <si>
    <t>MISCELLANEOUS INCOME</t>
  </si>
  <si>
    <t xml:space="preserve">Alejandro Flores </t>
  </si>
  <si>
    <t>Polo Narvaez</t>
  </si>
  <si>
    <t>James Herrera</t>
  </si>
  <si>
    <t>PROPOSED DISTRIBUTION OF TAX RATE &amp; REVENUE - 2021-2022</t>
  </si>
  <si>
    <t>ANIMAL LICENSES</t>
  </si>
  <si>
    <t>UNIFORMS &amp; CLOTHING</t>
  </si>
  <si>
    <t>COURT FEES-SPECIAL EXPENSE</t>
  </si>
  <si>
    <t>509-03100</t>
  </si>
  <si>
    <t>ENGINEER RETAINER</t>
  </si>
  <si>
    <t>528-08110</t>
  </si>
  <si>
    <t>TRACTOR REPAIRS</t>
  </si>
  <si>
    <t>STREET PROJECTS</t>
  </si>
  <si>
    <t>FY 2022-2023</t>
  </si>
  <si>
    <t>OVERTIME - SCHOOL SECURITY</t>
  </si>
  <si>
    <t>SRWA - O &amp; M</t>
  </si>
  <si>
    <t>515-30101</t>
  </si>
  <si>
    <t>HIKE &amp; BIKE TRAIL PROJECT</t>
  </si>
  <si>
    <t>412-1112</t>
  </si>
  <si>
    <t>407-1061</t>
  </si>
  <si>
    <t>490-1228</t>
  </si>
  <si>
    <t>490-1241</t>
  </si>
  <si>
    <t>490-1251</t>
  </si>
  <si>
    <t>490-1253</t>
  </si>
  <si>
    <t>490-1254</t>
  </si>
  <si>
    <t>490-1258</t>
  </si>
  <si>
    <t>490-1262</t>
  </si>
  <si>
    <t>490-1266</t>
  </si>
  <si>
    <t>407-1091</t>
  </si>
  <si>
    <t>430-0245</t>
  </si>
  <si>
    <t>430-0256</t>
  </si>
  <si>
    <t>430-0261</t>
  </si>
  <si>
    <t>430-0271</t>
  </si>
  <si>
    <t>430-0281</t>
  </si>
  <si>
    <t>444-1015</t>
  </si>
  <si>
    <t>444-1020</t>
  </si>
  <si>
    <t>444-1025</t>
  </si>
  <si>
    <t>444-1028</t>
  </si>
  <si>
    <t>444-1029</t>
  </si>
  <si>
    <t>444-1040</t>
  </si>
  <si>
    <t>444-1057</t>
  </si>
  <si>
    <t>444-1080</t>
  </si>
  <si>
    <t>444-1085</t>
  </si>
  <si>
    <t>407-1051</t>
  </si>
  <si>
    <t>407-1076</t>
  </si>
  <si>
    <t>410-1130</t>
  </si>
  <si>
    <t>410-1016</t>
  </si>
  <si>
    <t>410-1021</t>
  </si>
  <si>
    <t>410-1014</t>
  </si>
  <si>
    <t>410-1054</t>
  </si>
  <si>
    <t>444-1081</t>
  </si>
  <si>
    <t>444-1084</t>
  </si>
  <si>
    <t>444-1094</t>
  </si>
  <si>
    <t>416-1131</t>
  </si>
  <si>
    <t>416-1017</t>
  </si>
  <si>
    <t>444-1113</t>
  </si>
  <si>
    <t>444-1027</t>
  </si>
  <si>
    <t>490-1082</t>
  </si>
  <si>
    <t>490-1265</t>
  </si>
  <si>
    <t>OUTSOURCE PAYROLL SERVICE</t>
  </si>
  <si>
    <t>505-05120</t>
  </si>
  <si>
    <t>444-9901</t>
  </si>
  <si>
    <t>443-1012</t>
  </si>
  <si>
    <t>425-1200</t>
  </si>
  <si>
    <t>425-1000</t>
  </si>
  <si>
    <t>444-0130</t>
  </si>
  <si>
    <t>444-0135</t>
  </si>
  <si>
    <t>565-01000</t>
  </si>
  <si>
    <t>565-02000</t>
  </si>
  <si>
    <t>565-06000</t>
  </si>
  <si>
    <t>452-1132</t>
  </si>
  <si>
    <t>452-1000</t>
  </si>
  <si>
    <t>575-01100</t>
  </si>
  <si>
    <t>575-02100</t>
  </si>
  <si>
    <t>575-02105</t>
  </si>
  <si>
    <t>575-02107</t>
  </si>
  <si>
    <t>575-02160</t>
  </si>
  <si>
    <t>575-03110</t>
  </si>
  <si>
    <t>575-03115</t>
  </si>
  <si>
    <t>575-03120</t>
  </si>
  <si>
    <t>575-03121</t>
  </si>
  <si>
    <t>575-04100</t>
  </si>
  <si>
    <t>575-06100</t>
  </si>
  <si>
    <t>575-06120</t>
  </si>
  <si>
    <t>575-09100</t>
  </si>
  <si>
    <t>575-10100</t>
  </si>
  <si>
    <t>575-11150</t>
  </si>
  <si>
    <t>575-12100</t>
  </si>
  <si>
    <t>575-13500</t>
  </si>
  <si>
    <t>575-30000</t>
  </si>
  <si>
    <t>575-30100</t>
  </si>
  <si>
    <t>575-30105</t>
  </si>
  <si>
    <t>575-30129</t>
  </si>
  <si>
    <t>575-30131</t>
  </si>
  <si>
    <t>575-99100</t>
  </si>
  <si>
    <t>535-05120</t>
  </si>
  <si>
    <t xml:space="preserve">CWSRF - 2022 </t>
  </si>
  <si>
    <t>PROPOSED DISTRIBUTION OF TAX RATE &amp; REVENUE - 2022-2023</t>
  </si>
  <si>
    <t>444-5010</t>
  </si>
  <si>
    <t>444-5020</t>
  </si>
  <si>
    <t>444-5030</t>
  </si>
  <si>
    <t>444-5040</t>
  </si>
  <si>
    <t>444-5050</t>
  </si>
  <si>
    <t>444-5080</t>
  </si>
  <si>
    <t>444-5095</t>
  </si>
  <si>
    <t>444-6010</t>
  </si>
  <si>
    <t>444-6012</t>
  </si>
  <si>
    <t>444-6014</t>
  </si>
  <si>
    <t>444-6020</t>
  </si>
  <si>
    <t>442-1000</t>
  </si>
  <si>
    <t>PROPOSED DISTRIBUTION OF TAX RATE &amp; REVENUE - 2023-2024</t>
  </si>
  <si>
    <t>FISCAL YEAR ENDING SEPTEMBER 30, 2024</t>
  </si>
  <si>
    <t>FY2023-2024</t>
  </si>
  <si>
    <t>FY 2023-2024</t>
  </si>
  <si>
    <t>542-99100</t>
  </si>
  <si>
    <t>407-1048</t>
  </si>
  <si>
    <t>SHOOTING RANGE - SALE OF SCRAP</t>
  </si>
  <si>
    <t>SRWA - DEBT SERVICE</t>
  </si>
  <si>
    <t>542-80313</t>
  </si>
  <si>
    <t xml:space="preserve">CWSRF 2022 - TRANSFER OUT </t>
  </si>
  <si>
    <t>510-99115</t>
  </si>
  <si>
    <t xml:space="preserve">BAD DEBT EXPENSE - LOT MOWING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</si>
</sst>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_);\(0\)"/>
    <numFmt numFmtId="170" formatCode="_(* #,##0.000000_);_(* \(#,##0.000000\);_(* &quot;-&quot;??????_);_(@_)"/>
    <numFmt numFmtId="172" formatCode="_(* #,##0.0000_);_(* \(#,##0.0000\);_(* &quot;-&quot;????_);_(@_)"/>
    <numFmt numFmtId="173" formatCode="_(* #,##0.00_);_(* \(#,##0.00\);_(* &quot;-&quot;_);_(@_)"/>
    <numFmt numFmtId="174" formatCode="[$-409]mmmm\-yy;@"/>
    <numFmt numFmtId="175" formatCode="_(* #,##0.0000_);_(* \(#,##0.0000\);_(* &quot;-&quot;??_);_(@_)"/>
    <numFmt numFmtId="176" formatCode="_(* #,##0.0000_);_(* \(#,##0.0000\);_(* &quot;-&quot;??????_);_(@_)"/>
  </numFmts>
  <fonts count="38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name val="Book Antiqua"/>
      <family val="1"/>
    </font>
    <font>
      <b/>
      <sz val="12"/>
      <name val="Book Antiqua"/>
      <family val="1"/>
    </font>
    <font>
      <b/>
      <sz val="10"/>
      <name val="Book Antiqua"/>
      <family val="1"/>
    </font>
    <font>
      <b/>
      <u/>
      <sz val="10"/>
      <name val="Book Antiqua"/>
      <family val="1"/>
    </font>
    <font>
      <b/>
      <sz val="14"/>
      <name val="Book Antiqua"/>
      <family val="1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Book Antiqua"/>
      <family val="1"/>
    </font>
    <font>
      <sz val="14"/>
      <name val="Book Antiqua"/>
      <family val="1"/>
    </font>
    <font>
      <b/>
      <u val="singleAccounting"/>
      <sz val="12"/>
      <name val="Book Antiqua"/>
      <family val="1"/>
    </font>
    <font>
      <b/>
      <u/>
      <sz val="12"/>
      <name val="Book Antiqua"/>
      <family val="1"/>
    </font>
    <font>
      <sz val="11"/>
      <name val="Book Antiqua"/>
      <family val="1"/>
    </font>
    <font>
      <sz val="12"/>
      <color indexed="8"/>
      <name val="Book Antiqua"/>
      <family val="1"/>
    </font>
    <font>
      <b/>
      <sz val="11"/>
      <name val="Antique Olive"/>
      <family val="2"/>
    </font>
    <font>
      <sz val="11"/>
      <name val="Antique Olive"/>
      <family val="2"/>
    </font>
    <font>
      <sz val="10"/>
      <name val="Antique Olive"/>
      <family val="2"/>
    </font>
    <font>
      <sz val="14"/>
      <name val="Antique Olive"/>
      <family val="2"/>
    </font>
    <font>
      <sz val="12"/>
      <name val="Antique Olive"/>
      <family val="2"/>
    </font>
    <font>
      <b/>
      <i/>
      <sz val="14"/>
      <name val="Antique Olive"/>
      <family val="2"/>
    </font>
    <font>
      <b/>
      <sz val="12"/>
      <name val="Antique Olive"/>
      <family val="2"/>
    </font>
    <font>
      <b/>
      <u val="singleAccounting"/>
      <sz val="12"/>
      <name val="Antique Olive"/>
      <family val="2"/>
    </font>
    <font>
      <b/>
      <u/>
      <sz val="12"/>
      <name val="Antique Olive"/>
      <family val="2"/>
    </font>
    <font>
      <sz val="12"/>
      <color indexed="10"/>
      <name val="Antique Olive"/>
      <family val="2"/>
    </font>
    <font>
      <b/>
      <sz val="12"/>
      <color theme="0"/>
      <name val="Antique Olive"/>
      <family val="2"/>
    </font>
    <font>
      <b/>
      <u/>
      <sz val="12"/>
      <color theme="0"/>
      <name val="Antique Olive"/>
      <family val="2"/>
    </font>
    <font>
      <sz val="12"/>
      <color indexed="8"/>
      <name val="Antique Olive"/>
      <family val="2"/>
    </font>
    <font>
      <b/>
      <sz val="12"/>
      <color indexed="8"/>
      <name val="Antique Olive"/>
      <family val="2"/>
    </font>
    <font>
      <b/>
      <sz val="14"/>
      <name val="Antique Olive"/>
      <family val="2"/>
    </font>
    <font>
      <sz val="12"/>
      <color rgb="FFFF0000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thin">
        <color theme="6" tint="-0.499984740745262"/>
      </top>
      <bottom style="double">
        <color theme="6" tint="-0.499984740745262"/>
      </bottom>
      <diagonal/>
    </border>
    <border>
      <left/>
      <right/>
      <top style="thin">
        <color rgb="FFC00000"/>
      </top>
      <bottom style="double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medium">
        <color rgb="FFC00000"/>
      </top>
      <bottom style="double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medium">
        <color theme="6" tint="-0.499984740745262"/>
      </top>
      <bottom style="double">
        <color theme="6" tint="-0.499984740745262"/>
      </bottom>
      <diagonal/>
    </border>
    <border>
      <left/>
      <right/>
      <top style="thick">
        <color theme="6" tint="-0.499984740745262"/>
      </top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/>
      <right/>
      <top style="medium">
        <color rgb="FFC00000"/>
      </top>
      <bottom style="medium">
        <color rgb="FFC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5">
    <xf numFmtId="0" fontId="0" fillId="0" borderId="0" xfId="0"/>
    <xf numFmtId="0" fontId="4" fillId="0" borderId="0" xfId="0" applyFont="1"/>
    <xf numFmtId="164" fontId="0" fillId="0" borderId="0" xfId="0" applyNumberFormat="1"/>
    <xf numFmtId="14" fontId="0" fillId="0" borderId="0" xfId="0" applyNumberFormat="1"/>
    <xf numFmtId="0" fontId="5" fillId="0" borderId="0" xfId="0" applyFont="1"/>
    <xf numFmtId="0" fontId="5" fillId="0" borderId="1" xfId="0" applyFont="1" applyBorder="1"/>
    <xf numFmtId="0" fontId="0" fillId="0" borderId="0" xfId="0" quotePrefix="1"/>
    <xf numFmtId="0" fontId="3" fillId="0" borderId="0" xfId="0" applyFont="1"/>
    <xf numFmtId="164" fontId="1" fillId="0" borderId="2" xfId="1" applyNumberFormat="1" applyBorder="1"/>
    <xf numFmtId="164" fontId="0" fillId="0" borderId="2" xfId="0" applyNumberFormat="1" applyBorder="1"/>
    <xf numFmtId="0" fontId="5" fillId="0" borderId="2" xfId="0" applyFont="1" applyBorder="1"/>
    <xf numFmtId="0" fontId="5" fillId="0" borderId="2" xfId="0" applyFont="1" applyBorder="1" applyAlignment="1">
      <alignment horizontal="center" wrapText="1"/>
    </xf>
    <xf numFmtId="43" fontId="1" fillId="0" borderId="0" xfId="1"/>
    <xf numFmtId="164" fontId="1" fillId="0" borderId="0" xfId="1" applyNumberFormat="1"/>
    <xf numFmtId="10" fontId="5" fillId="0" borderId="0" xfId="3" applyNumberFormat="1" applyFont="1"/>
    <xf numFmtId="0" fontId="5" fillId="0" borderId="2" xfId="0" applyFont="1" applyBorder="1" applyAlignment="1">
      <alignment wrapText="1"/>
    </xf>
    <xf numFmtId="43" fontId="5" fillId="0" borderId="2" xfId="1" applyFont="1" applyBorder="1"/>
    <xf numFmtId="164" fontId="1" fillId="0" borderId="0" xfId="1" applyNumberFormat="1" applyBorder="1"/>
    <xf numFmtId="165" fontId="1" fillId="0" borderId="3" xfId="1" applyNumberFormat="1" applyBorder="1"/>
    <xf numFmtId="165" fontId="1" fillId="0" borderId="3" xfId="2" applyNumberFormat="1" applyBorder="1"/>
    <xf numFmtId="43" fontId="0" fillId="0" borderId="0" xfId="0" applyNumberFormat="1"/>
    <xf numFmtId="9" fontId="0" fillId="0" borderId="0" xfId="0" applyNumberFormat="1"/>
    <xf numFmtId="41" fontId="1" fillId="0" borderId="0" xfId="1" applyNumberFormat="1"/>
    <xf numFmtId="10" fontId="0" fillId="0" borderId="0" xfId="0" applyNumberFormat="1"/>
    <xf numFmtId="41" fontId="0" fillId="0" borderId="0" xfId="0" applyNumberFormat="1"/>
    <xf numFmtId="44" fontId="1" fillId="0" borderId="0" xfId="1" applyNumberFormat="1"/>
    <xf numFmtId="0" fontId="0" fillId="0" borderId="0" xfId="0" applyAlignment="1">
      <alignment horizontal="center"/>
    </xf>
    <xf numFmtId="16" fontId="0" fillId="0" borderId="0" xfId="0" quotePrefix="1" applyNumberFormat="1" applyAlignment="1">
      <alignment horizontal="center"/>
    </xf>
    <xf numFmtId="12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41" fontId="1" fillId="0" borderId="0" xfId="1" applyNumberFormat="1" applyBorder="1"/>
    <xf numFmtId="41" fontId="1" fillId="0" borderId="4" xfId="1" applyNumberFormat="1" applyFont="1" applyBorder="1"/>
    <xf numFmtId="41" fontId="0" fillId="2" borderId="3" xfId="0" applyNumberFormat="1" applyFill="1" applyBorder="1"/>
    <xf numFmtId="9" fontId="5" fillId="0" borderId="2" xfId="0" applyNumberFormat="1" applyFont="1" applyBorder="1" applyAlignment="1">
      <alignment horizontal="center" wrapText="1"/>
    </xf>
    <xf numFmtId="41" fontId="5" fillId="0" borderId="2" xfId="0" applyNumberFormat="1" applyFont="1" applyBorder="1" applyAlignment="1">
      <alignment horizontal="center" wrapText="1"/>
    </xf>
    <xf numFmtId="41" fontId="1" fillId="0" borderId="2" xfId="1" applyNumberFormat="1" applyBorder="1"/>
    <xf numFmtId="41" fontId="0" fillId="0" borderId="2" xfId="0" applyNumberFormat="1" applyBorder="1"/>
    <xf numFmtId="41" fontId="1" fillId="0" borderId="3" xfId="1" applyNumberFormat="1" applyBorder="1"/>
    <xf numFmtId="164" fontId="1" fillId="0" borderId="0" xfId="1" applyNumberFormat="1" applyFill="1" applyBorder="1"/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164" fontId="8" fillId="0" borderId="0" xfId="1" applyNumberFormat="1" applyFont="1" applyFill="1"/>
    <xf numFmtId="164" fontId="8" fillId="0" borderId="0" xfId="1" applyNumberFormat="1" applyFont="1" applyFill="1" applyBorder="1"/>
    <xf numFmtId="164" fontId="8" fillId="0" borderId="0" xfId="1" applyNumberFormat="1" applyFont="1"/>
    <xf numFmtId="164" fontId="8" fillId="0" borderId="0" xfId="1" applyNumberFormat="1" applyFont="1" applyBorder="1"/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1" applyNumberFormat="1" applyFont="1" applyBorder="1" applyAlignment="1"/>
    <xf numFmtId="164" fontId="11" fillId="0" borderId="0" xfId="1" applyNumberFormat="1" applyFont="1" applyBorder="1" applyAlignment="1">
      <alignment horizontal="center"/>
    </xf>
    <xf numFmtId="165" fontId="8" fillId="0" borderId="0" xfId="2" applyNumberFormat="1" applyFont="1"/>
    <xf numFmtId="165" fontId="8" fillId="0" borderId="0" xfId="2" applyNumberFormat="1" applyFont="1" applyFill="1"/>
    <xf numFmtId="164" fontId="8" fillId="3" borderId="0" xfId="1" applyNumberFormat="1" applyFont="1" applyFill="1" applyBorder="1"/>
    <xf numFmtId="165" fontId="8" fillId="3" borderId="0" xfId="2" applyNumberFormat="1" applyFont="1" applyFill="1" applyBorder="1"/>
    <xf numFmtId="165" fontId="8" fillId="0" borderId="0" xfId="2" applyNumberFormat="1" applyFont="1" applyFill="1" applyBorder="1"/>
    <xf numFmtId="0" fontId="12" fillId="0" borderId="0" xfId="0" applyFont="1" applyAlignment="1">
      <alignment horizontal="center"/>
    </xf>
    <xf numFmtId="0" fontId="8" fillId="0" borderId="0" xfId="0" quotePrefix="1" applyFont="1"/>
    <xf numFmtId="43" fontId="1" fillId="0" borderId="0" xfId="1" applyFont="1"/>
    <xf numFmtId="43" fontId="5" fillId="0" borderId="0" xfId="3" applyNumberFormat="1" applyFont="1"/>
    <xf numFmtId="164" fontId="1" fillId="0" borderId="0" xfId="1" applyNumberFormat="1" applyFill="1"/>
    <xf numFmtId="41" fontId="1" fillId="0" borderId="0" xfId="1" applyNumberFormat="1" applyFill="1"/>
    <xf numFmtId="44" fontId="0" fillId="0" borderId="0" xfId="0" applyNumberFormat="1"/>
    <xf numFmtId="44" fontId="5" fillId="0" borderId="0" xfId="0" applyNumberFormat="1" applyFont="1"/>
    <xf numFmtId="44" fontId="0" fillId="2" borderId="5" xfId="0" applyNumberFormat="1" applyFill="1" applyBorder="1"/>
    <xf numFmtId="44" fontId="0" fillId="0" borderId="4" xfId="0" applyNumberFormat="1" applyBorder="1"/>
    <xf numFmtId="41" fontId="13" fillId="0" borderId="0" xfId="0" applyNumberFormat="1" applyFont="1"/>
    <xf numFmtId="0" fontId="13" fillId="0" borderId="0" xfId="0" applyFont="1"/>
    <xf numFmtId="44" fontId="13" fillId="0" borderId="0" xfId="0" applyNumberFormat="1" applyFont="1"/>
    <xf numFmtId="44" fontId="13" fillId="0" borderId="4" xfId="0" applyNumberFormat="1" applyFont="1" applyBorder="1"/>
    <xf numFmtId="43" fontId="1" fillId="0" borderId="0" xfId="1" applyFont="1" applyFill="1"/>
    <xf numFmtId="0" fontId="0" fillId="2" borderId="0" xfId="0" applyFill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43" fontId="4" fillId="0" borderId="0" xfId="1" applyFont="1" applyFill="1"/>
    <xf numFmtId="41" fontId="4" fillId="0" borderId="0" xfId="1" applyNumberFormat="1" applyFont="1"/>
    <xf numFmtId="0" fontId="4" fillId="0" borderId="0" xfId="0" quotePrefix="1" applyFont="1" applyAlignment="1">
      <alignment horizontal="right"/>
    </xf>
    <xf numFmtId="16" fontId="4" fillId="0" borderId="0" xfId="0" quotePrefix="1" applyNumberFormat="1" applyFont="1" applyAlignment="1">
      <alignment horizontal="center"/>
    </xf>
    <xf numFmtId="164" fontId="1" fillId="0" borderId="2" xfId="1" applyNumberFormat="1" applyFill="1" applyBorder="1"/>
    <xf numFmtId="43" fontId="8" fillId="0" borderId="0" xfId="0" applyNumberFormat="1" applyFont="1"/>
    <xf numFmtId="9" fontId="8" fillId="0" borderId="0" xfId="0" applyNumberFormat="1" applyFont="1"/>
    <xf numFmtId="170" fontId="8" fillId="0" borderId="0" xfId="0" applyNumberFormat="1" applyFont="1"/>
    <xf numFmtId="170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3" fontId="8" fillId="0" borderId="0" xfId="0" applyNumberFormat="1" applyFont="1" applyAlignment="1">
      <alignment horizontal="right"/>
    </xf>
    <xf numFmtId="43" fontId="8" fillId="0" borderId="4" xfId="0" applyNumberFormat="1" applyFont="1" applyBorder="1"/>
    <xf numFmtId="9" fontId="8" fillId="0" borderId="4" xfId="0" applyNumberFormat="1" applyFont="1" applyBorder="1"/>
    <xf numFmtId="170" fontId="8" fillId="0" borderId="4" xfId="0" applyNumberFormat="1" applyFont="1" applyBorder="1"/>
    <xf numFmtId="164" fontId="17" fillId="0" borderId="0" xfId="1" applyNumberFormat="1" applyFont="1" applyFill="1" applyBorder="1" applyAlignment="1"/>
    <xf numFmtId="37" fontId="17" fillId="0" borderId="0" xfId="0" applyNumberFormat="1" applyFont="1"/>
    <xf numFmtId="166" fontId="17" fillId="0" borderId="0" xfId="0" applyNumberFormat="1" applyFont="1"/>
    <xf numFmtId="37" fontId="16" fillId="0" borderId="0" xfId="0" applyNumberFormat="1" applyFont="1"/>
    <xf numFmtId="0" fontId="16" fillId="0" borderId="0" xfId="0" applyFont="1"/>
    <xf numFmtId="164" fontId="16" fillId="0" borderId="0" xfId="1" applyNumberFormat="1" applyFont="1" applyFill="1" applyBorder="1"/>
    <xf numFmtId="164" fontId="16" fillId="0" borderId="0" xfId="1" applyNumberFormat="1" applyFont="1" applyFill="1" applyBorder="1" applyAlignment="1">
      <alignment horizontal="right"/>
    </xf>
    <xf numFmtId="41" fontId="16" fillId="0" borderId="0" xfId="1" applyNumberFormat="1" applyFont="1" applyFill="1" applyBorder="1"/>
    <xf numFmtId="41" fontId="16" fillId="0" borderId="0" xfId="1" applyNumberFormat="1" applyFont="1" applyFill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right"/>
    </xf>
    <xf numFmtId="37" fontId="9" fillId="0" borderId="0" xfId="0" applyNumberFormat="1" applyFont="1" applyAlignment="1">
      <alignment horizontal="right"/>
    </xf>
    <xf numFmtId="41" fontId="16" fillId="0" borderId="0" xfId="0" applyNumberFormat="1" applyFont="1"/>
    <xf numFmtId="9" fontId="9" fillId="0" borderId="0" xfId="1" applyNumberFormat="1" applyFont="1" applyFill="1" applyBorder="1" applyAlignment="1"/>
    <xf numFmtId="37" fontId="9" fillId="0" borderId="0" xfId="0" applyNumberFormat="1" applyFont="1"/>
    <xf numFmtId="37" fontId="9" fillId="0" borderId="2" xfId="0" applyNumberFormat="1" applyFont="1" applyBorder="1"/>
    <xf numFmtId="164" fontId="9" fillId="0" borderId="2" xfId="1" applyNumberFormat="1" applyFont="1" applyFill="1" applyBorder="1"/>
    <xf numFmtId="41" fontId="9" fillId="0" borderId="2" xfId="1" applyNumberFormat="1" applyFont="1" applyFill="1" applyBorder="1"/>
    <xf numFmtId="164" fontId="9" fillId="0" borderId="0" xfId="1" applyNumberFormat="1" applyFont="1" applyFill="1" applyBorder="1"/>
    <xf numFmtId="41" fontId="9" fillId="0" borderId="0" xfId="1" applyNumberFormat="1" applyFont="1" applyFill="1" applyBorder="1"/>
    <xf numFmtId="41" fontId="9" fillId="0" borderId="0" xfId="0" applyNumberFormat="1" applyFont="1"/>
    <xf numFmtId="43" fontId="9" fillId="0" borderId="0" xfId="1" applyFont="1" applyFill="1" applyBorder="1"/>
    <xf numFmtId="37" fontId="16" fillId="0" borderId="0" xfId="0" applyNumberFormat="1" applyFont="1" applyAlignment="1">
      <alignment horizontal="center"/>
    </xf>
    <xf numFmtId="164" fontId="17" fillId="0" borderId="0" xfId="1" applyNumberFormat="1" applyFont="1" applyFill="1" applyBorder="1"/>
    <xf numFmtId="0" fontId="17" fillId="0" borderId="0" xfId="0" applyFont="1"/>
    <xf numFmtId="41" fontId="18" fillId="0" borderId="0" xfId="1" applyNumberFormat="1" applyFont="1" applyFill="1" applyBorder="1" applyAlignment="1">
      <alignment horizontal="center"/>
    </xf>
    <xf numFmtId="9" fontId="16" fillId="0" borderId="0" xfId="1" applyNumberFormat="1" applyFont="1" applyFill="1" applyBorder="1" applyAlignment="1"/>
    <xf numFmtId="41" fontId="16" fillId="0" borderId="4" xfId="1" applyNumberFormat="1" applyFont="1" applyFill="1" applyBorder="1"/>
    <xf numFmtId="41" fontId="16" fillId="0" borderId="4" xfId="0" applyNumberFormat="1" applyFont="1" applyBorder="1"/>
    <xf numFmtId="41" fontId="16" fillId="0" borderId="4" xfId="1" applyNumberFormat="1" applyFont="1" applyFill="1" applyBorder="1" applyAlignment="1"/>
    <xf numFmtId="9" fontId="16" fillId="0" borderId="4" xfId="1" applyNumberFormat="1" applyFont="1" applyFill="1" applyBorder="1" applyAlignment="1"/>
    <xf numFmtId="41" fontId="9" fillId="0" borderId="0" xfId="1" applyNumberFormat="1" applyFont="1" applyFill="1" applyBorder="1" applyAlignment="1"/>
    <xf numFmtId="165" fontId="9" fillId="0" borderId="2" xfId="2" applyNumberFormat="1" applyFont="1" applyFill="1" applyBorder="1"/>
    <xf numFmtId="165" fontId="16" fillId="0" borderId="0" xfId="2" applyNumberFormat="1" applyFont="1" applyFill="1" applyBorder="1"/>
    <xf numFmtId="165" fontId="16" fillId="0" borderId="0" xfId="2" applyNumberFormat="1" applyFont="1" applyFill="1" applyBorder="1" applyAlignment="1">
      <alignment horizontal="right"/>
    </xf>
    <xf numFmtId="41" fontId="9" fillId="0" borderId="0" xfId="2" applyNumberFormat="1" applyFont="1" applyFill="1" applyBorder="1" applyAlignment="1">
      <alignment horizontal="right"/>
    </xf>
    <xf numFmtId="165" fontId="9" fillId="0" borderId="0" xfId="2" applyNumberFormat="1" applyFont="1" applyFill="1" applyBorder="1"/>
    <xf numFmtId="41" fontId="9" fillId="0" borderId="0" xfId="2" applyNumberFormat="1" applyFont="1" applyFill="1" applyBorder="1"/>
    <xf numFmtId="9" fontId="9" fillId="0" borderId="0" xfId="2" applyNumberFormat="1" applyFont="1" applyFill="1" applyBorder="1"/>
    <xf numFmtId="165" fontId="9" fillId="0" borderId="0" xfId="2" applyNumberFormat="1" applyFont="1" applyFill="1" applyBorder="1" applyAlignment="1">
      <alignment horizontal="right"/>
    </xf>
    <xf numFmtId="9" fontId="9" fillId="0" borderId="2" xfId="1" applyNumberFormat="1" applyFont="1" applyFill="1" applyBorder="1" applyAlignment="1"/>
    <xf numFmtId="9" fontId="9" fillId="0" borderId="0" xfId="1" applyNumberFormat="1" applyFont="1" applyFill="1" applyBorder="1"/>
    <xf numFmtId="41" fontId="16" fillId="0" borderId="0" xfId="0" applyNumberFormat="1" applyFont="1" applyAlignment="1">
      <alignment horizontal="right"/>
    </xf>
    <xf numFmtId="9" fontId="16" fillId="0" borderId="0" xfId="0" applyNumberFormat="1" applyFont="1" applyAlignment="1">
      <alignment horizontal="right"/>
    </xf>
    <xf numFmtId="0" fontId="19" fillId="0" borderId="0" xfId="0" applyFont="1"/>
    <xf numFmtId="9" fontId="16" fillId="0" borderId="0" xfId="1" applyNumberFormat="1" applyFont="1" applyFill="1" applyBorder="1"/>
    <xf numFmtId="164" fontId="19" fillId="0" borderId="0" xfId="1" applyNumberFormat="1" applyFont="1" applyFill="1" applyBorder="1"/>
    <xf numFmtId="37" fontId="19" fillId="0" borderId="0" xfId="0" applyNumberFormat="1" applyFont="1"/>
    <xf numFmtId="0" fontId="21" fillId="0" borderId="0" xfId="0" applyFont="1"/>
    <xf numFmtId="164" fontId="21" fillId="0" borderId="0" xfId="1" applyNumberFormat="1" applyFont="1" applyFill="1" applyBorder="1"/>
    <xf numFmtId="41" fontId="9" fillId="0" borderId="8" xfId="1" applyNumberFormat="1" applyFont="1" applyFill="1" applyBorder="1"/>
    <xf numFmtId="41" fontId="16" fillId="0" borderId="8" xfId="1" applyNumberFormat="1" applyFont="1" applyFill="1" applyBorder="1" applyAlignment="1">
      <alignment horizontal="right"/>
    </xf>
    <xf numFmtId="173" fontId="16" fillId="0" borderId="0" xfId="1" applyNumberFormat="1" applyFont="1" applyFill="1" applyBorder="1" applyAlignment="1">
      <alignment horizontal="right"/>
    </xf>
    <xf numFmtId="0" fontId="20" fillId="0" borderId="0" xfId="0" applyFont="1"/>
    <xf numFmtId="37" fontId="17" fillId="0" borderId="0" xfId="0" applyNumberFormat="1" applyFont="1" applyAlignment="1">
      <alignment horizontal="centerContinuous"/>
    </xf>
    <xf numFmtId="166" fontId="17" fillId="0" borderId="0" xfId="0" applyNumberFormat="1" applyFont="1" applyAlignment="1">
      <alignment horizontal="centerContinuous"/>
    </xf>
    <xf numFmtId="9" fontId="16" fillId="0" borderId="0" xfId="3" applyFont="1" applyFill="1" applyBorder="1"/>
    <xf numFmtId="41" fontId="16" fillId="0" borderId="8" xfId="0" applyNumberFormat="1" applyFont="1" applyBorder="1"/>
    <xf numFmtId="0" fontId="9" fillId="0" borderId="0" xfId="0" applyFont="1" applyAlignment="1">
      <alignment horizontal="right"/>
    </xf>
    <xf numFmtId="41" fontId="9" fillId="0" borderId="0" xfId="1" applyNumberFormat="1" applyFont="1" applyFill="1"/>
    <xf numFmtId="37" fontId="20" fillId="0" borderId="0" xfId="0" applyNumberFormat="1" applyFont="1"/>
    <xf numFmtId="164" fontId="17" fillId="0" borderId="0" xfId="1" applyNumberFormat="1" applyFont="1" applyFill="1" applyBorder="1" applyAlignment="1">
      <alignment horizontal="centerContinuous"/>
    </xf>
    <xf numFmtId="41" fontId="17" fillId="0" borderId="0" xfId="0" applyNumberFormat="1" applyFont="1"/>
    <xf numFmtId="43" fontId="17" fillId="0" borderId="0" xfId="0" applyNumberFormat="1" applyFont="1"/>
    <xf numFmtId="43" fontId="9" fillId="0" borderId="0" xfId="0" applyNumberFormat="1" applyFont="1"/>
    <xf numFmtId="0" fontId="23" fillId="0" borderId="0" xfId="0" applyFont="1"/>
    <xf numFmtId="0" fontId="24" fillId="0" borderId="0" xfId="0" applyFont="1"/>
    <xf numFmtId="37" fontId="23" fillId="0" borderId="0" xfId="0" applyNumberFormat="1" applyFont="1"/>
    <xf numFmtId="164" fontId="25" fillId="0" borderId="0" xfId="1" applyNumberFormat="1" applyFont="1" applyFill="1" applyBorder="1" applyAlignment="1"/>
    <xf numFmtId="37" fontId="25" fillId="0" borderId="0" xfId="0" applyNumberFormat="1" applyFont="1"/>
    <xf numFmtId="166" fontId="25" fillId="0" borderId="0" xfId="0" applyNumberFormat="1" applyFont="1"/>
    <xf numFmtId="37" fontId="26" fillId="0" borderId="0" xfId="0" applyNumberFormat="1" applyFont="1"/>
    <xf numFmtId="0" fontId="26" fillId="0" borderId="0" xfId="0" applyFont="1"/>
    <xf numFmtId="164" fontId="26" fillId="0" borderId="0" xfId="1" applyNumberFormat="1" applyFont="1" applyFill="1" applyBorder="1"/>
    <xf numFmtId="164" fontId="26" fillId="0" borderId="0" xfId="1" applyNumberFormat="1" applyFont="1" applyFill="1" applyBorder="1" applyAlignment="1">
      <alignment horizontal="right"/>
    </xf>
    <xf numFmtId="43" fontId="26" fillId="0" borderId="0" xfId="1" applyFont="1" applyFill="1" applyBorder="1"/>
    <xf numFmtId="41" fontId="26" fillId="0" borderId="0" xfId="1" applyNumberFormat="1" applyFont="1" applyFill="1" applyBorder="1"/>
    <xf numFmtId="43" fontId="26" fillId="0" borderId="0" xfId="1" applyFont="1" applyFill="1" applyBorder="1" applyAlignment="1">
      <alignment horizontal="right"/>
    </xf>
    <xf numFmtId="41" fontId="26" fillId="0" borderId="0" xfId="1" applyNumberFormat="1" applyFont="1" applyFill="1" applyBorder="1" applyAlignment="1">
      <alignment horizontal="right"/>
    </xf>
    <xf numFmtId="41" fontId="28" fillId="0" borderId="0" xfId="1" applyNumberFormat="1" applyFont="1" applyFill="1" applyBorder="1" applyAlignment="1">
      <alignment horizontal="right"/>
    </xf>
    <xf numFmtId="9" fontId="28" fillId="0" borderId="0" xfId="1" applyNumberFormat="1" applyFont="1" applyFill="1" applyBorder="1" applyAlignment="1">
      <alignment horizontal="right"/>
    </xf>
    <xf numFmtId="164" fontId="28" fillId="0" borderId="0" xfId="1" applyNumberFormat="1" applyFont="1" applyFill="1" applyBorder="1" applyAlignment="1">
      <alignment horizontal="right"/>
    </xf>
    <xf numFmtId="4" fontId="28" fillId="0" borderId="0" xfId="1" applyNumberFormat="1" applyFont="1" applyFill="1" applyBorder="1" applyAlignment="1">
      <alignment horizontal="right"/>
    </xf>
    <xf numFmtId="37" fontId="28" fillId="0" borderId="0" xfId="0" applyNumberFormat="1" applyFont="1" applyAlignment="1">
      <alignment horizontal="right"/>
    </xf>
    <xf numFmtId="166" fontId="28" fillId="0" borderId="0" xfId="0" applyNumberFormat="1" applyFont="1" applyAlignment="1">
      <alignment horizontal="right"/>
    </xf>
    <xf numFmtId="164" fontId="28" fillId="0" borderId="0" xfId="1" applyNumberFormat="1" applyFont="1" applyFill="1" applyBorder="1" applyAlignment="1">
      <alignment horizontal="center"/>
    </xf>
    <xf numFmtId="43" fontId="28" fillId="0" borderId="2" xfId="1" applyFont="1" applyFill="1" applyBorder="1" applyAlignment="1">
      <alignment horizontal="centerContinuous"/>
    </xf>
    <xf numFmtId="41" fontId="28" fillId="0" borderId="2" xfId="1" applyNumberFormat="1" applyFont="1" applyFill="1" applyBorder="1" applyAlignment="1">
      <alignment horizontal="centerContinuous"/>
    </xf>
    <xf numFmtId="0" fontId="28" fillId="0" borderId="0" xfId="0" applyFont="1"/>
    <xf numFmtId="41" fontId="26" fillId="0" borderId="0" xfId="0" applyNumberFormat="1" applyFont="1"/>
    <xf numFmtId="164" fontId="26" fillId="0" borderId="0" xfId="1" applyNumberFormat="1" applyFont="1" applyFill="1"/>
    <xf numFmtId="164" fontId="26" fillId="0" borderId="0" xfId="0" applyNumberFormat="1" applyFont="1"/>
    <xf numFmtId="9" fontId="26" fillId="0" borderId="0" xfId="0" applyNumberFormat="1" applyFont="1"/>
    <xf numFmtId="164" fontId="28" fillId="0" borderId="3" xfId="1" applyNumberFormat="1" applyFont="1" applyFill="1" applyBorder="1" applyAlignment="1"/>
    <xf numFmtId="10" fontId="26" fillId="0" borderId="0" xfId="0" applyNumberFormat="1" applyFont="1"/>
    <xf numFmtId="164" fontId="30" fillId="0" borderId="0" xfId="1" applyNumberFormat="1" applyFont="1" applyFill="1" applyBorder="1" applyAlignment="1">
      <alignment horizontal="center"/>
    </xf>
    <xf numFmtId="164" fontId="26" fillId="0" borderId="0" xfId="1" applyNumberFormat="1" applyFont="1" applyFill="1" applyBorder="1" applyAlignment="1">
      <alignment horizontal="center"/>
    </xf>
    <xf numFmtId="164" fontId="28" fillId="0" borderId="2" xfId="1" applyNumberFormat="1" applyFont="1" applyFill="1" applyBorder="1" applyAlignment="1"/>
    <xf numFmtId="164" fontId="28" fillId="0" borderId="7" xfId="1" applyNumberFormat="1" applyFont="1" applyFill="1" applyBorder="1" applyAlignment="1"/>
    <xf numFmtId="37" fontId="28" fillId="0" borderId="0" xfId="0" applyNumberFormat="1" applyFont="1"/>
    <xf numFmtId="43" fontId="26" fillId="0" borderId="0" xfId="0" applyNumberFormat="1" applyFont="1"/>
    <xf numFmtId="164" fontId="28" fillId="0" borderId="2" xfId="1" applyNumberFormat="1" applyFont="1" applyFill="1" applyBorder="1"/>
    <xf numFmtId="41" fontId="28" fillId="0" borderId="2" xfId="1" applyNumberFormat="1" applyFont="1" applyFill="1" applyBorder="1"/>
    <xf numFmtId="164" fontId="28" fillId="0" borderId="2" xfId="0" applyNumberFormat="1" applyFont="1" applyBorder="1"/>
    <xf numFmtId="41" fontId="28" fillId="0" borderId="0" xfId="1" applyNumberFormat="1" applyFont="1" applyFill="1" applyBorder="1"/>
    <xf numFmtId="172" fontId="26" fillId="0" borderId="0" xfId="0" applyNumberFormat="1" applyFont="1"/>
    <xf numFmtId="164" fontId="28" fillId="0" borderId="3" xfId="1" applyNumberFormat="1" applyFont="1" applyFill="1" applyBorder="1"/>
    <xf numFmtId="37" fontId="26" fillId="0" borderId="0" xfId="0" applyNumberFormat="1" applyFont="1" applyAlignment="1">
      <alignment horizontal="center"/>
    </xf>
    <xf numFmtId="164" fontId="26" fillId="0" borderId="4" xfId="0" applyNumberFormat="1" applyFont="1" applyBorder="1"/>
    <xf numFmtId="37" fontId="31" fillId="0" borderId="0" xfId="0" applyNumberFormat="1" applyFont="1"/>
    <xf numFmtId="43" fontId="26" fillId="0" borderId="0" xfId="3" applyNumberFormat="1" applyFont="1" applyFill="1" applyBorder="1"/>
    <xf numFmtId="41" fontId="26" fillId="0" borderId="0" xfId="3" applyNumberFormat="1" applyFont="1" applyFill="1" applyBorder="1"/>
    <xf numFmtId="0" fontId="22" fillId="0" borderId="0" xfId="0" applyFont="1"/>
    <xf numFmtId="164" fontId="23" fillId="0" borderId="0" xfId="1" applyNumberFormat="1" applyFont="1" applyFill="1" applyBorder="1"/>
    <xf numFmtId="41" fontId="22" fillId="0" borderId="15" xfId="1" applyNumberFormat="1" applyFont="1" applyFill="1" applyBorder="1"/>
    <xf numFmtId="164" fontId="23" fillId="0" borderId="0" xfId="1" applyNumberFormat="1" applyFont="1" applyFill="1" applyBorder="1" applyAlignment="1">
      <alignment horizontal="right"/>
    </xf>
    <xf numFmtId="41" fontId="22" fillId="0" borderId="0" xfId="1" applyNumberFormat="1" applyFont="1" applyFill="1" applyBorder="1" applyAlignment="1">
      <alignment horizontal="right"/>
    </xf>
    <xf numFmtId="41" fontId="22" fillId="0" borderId="0" xfId="0" applyNumberFormat="1" applyFont="1" applyAlignment="1">
      <alignment horizontal="right"/>
    </xf>
    <xf numFmtId="9" fontId="22" fillId="0" borderId="0" xfId="0" applyNumberFormat="1" applyFont="1" applyAlignment="1">
      <alignment horizontal="right"/>
    </xf>
    <xf numFmtId="0" fontId="28" fillId="0" borderId="0" xfId="0" applyFont="1" applyAlignment="1">
      <alignment horizontal="center"/>
    </xf>
    <xf numFmtId="0" fontId="28" fillId="0" borderId="4" xfId="0" applyFont="1" applyBorder="1" applyAlignment="1">
      <alignment horizontal="center"/>
    </xf>
    <xf numFmtId="37" fontId="26" fillId="0" borderId="0" xfId="1" applyNumberFormat="1" applyFont="1" applyFill="1" applyAlignment="1">
      <alignment horizontal="right"/>
    </xf>
    <xf numFmtId="41" fontId="28" fillId="0" borderId="19" xfId="1" applyNumberFormat="1" applyFont="1" applyFill="1" applyBorder="1" applyAlignment="1">
      <alignment horizontal="centerContinuous"/>
    </xf>
    <xf numFmtId="37" fontId="26" fillId="0" borderId="0" xfId="1" applyNumberFormat="1" applyFont="1" applyFill="1" applyBorder="1" applyAlignment="1">
      <alignment horizontal="right"/>
    </xf>
    <xf numFmtId="41" fontId="29" fillId="0" borderId="0" xfId="1" applyNumberFormat="1" applyFont="1" applyFill="1" applyBorder="1" applyAlignment="1">
      <alignment horizontal="center"/>
    </xf>
    <xf numFmtId="41" fontId="29" fillId="0" borderId="19" xfId="1" applyNumberFormat="1" applyFont="1" applyFill="1" applyBorder="1" applyAlignment="1">
      <alignment horizontal="center"/>
    </xf>
    <xf numFmtId="41" fontId="26" fillId="0" borderId="9" xfId="2" applyNumberFormat="1" applyFont="1" applyFill="1" applyBorder="1"/>
    <xf numFmtId="41" fontId="26" fillId="0" borderId="6" xfId="2" applyNumberFormat="1" applyFont="1" applyFill="1" applyBorder="1"/>
    <xf numFmtId="41" fontId="26" fillId="0" borderId="1" xfId="2" applyNumberFormat="1" applyFont="1" applyFill="1" applyBorder="1"/>
    <xf numFmtId="41" fontId="26" fillId="0" borderId="0" xfId="2" applyNumberFormat="1" applyFont="1" applyFill="1" applyBorder="1"/>
    <xf numFmtId="9" fontId="26" fillId="0" borderId="0" xfId="3" applyFont="1" applyFill="1" applyBorder="1"/>
    <xf numFmtId="41" fontId="26" fillId="0" borderId="9" xfId="1" applyNumberFormat="1" applyFont="1" applyFill="1" applyBorder="1"/>
    <xf numFmtId="41" fontId="26" fillId="0" borderId="6" xfId="1" applyNumberFormat="1" applyFont="1" applyFill="1" applyBorder="1"/>
    <xf numFmtId="41" fontId="26" fillId="0" borderId="1" xfId="1" applyNumberFormat="1" applyFont="1" applyFill="1" applyBorder="1"/>
    <xf numFmtId="42" fontId="28" fillId="0" borderId="17" xfId="1" applyNumberFormat="1" applyFont="1" applyFill="1" applyBorder="1"/>
    <xf numFmtId="41" fontId="26" fillId="0" borderId="3" xfId="0" applyNumberFormat="1" applyFont="1" applyBorder="1"/>
    <xf numFmtId="41" fontId="28" fillId="0" borderId="3" xfId="2" applyNumberFormat="1" applyFont="1" applyFill="1" applyBorder="1"/>
    <xf numFmtId="41" fontId="28" fillId="0" borderId="12" xfId="2" applyNumberFormat="1" applyFont="1" applyFill="1" applyBorder="1"/>
    <xf numFmtId="9" fontId="28" fillId="0" borderId="12" xfId="3" applyFont="1" applyFill="1" applyBorder="1"/>
    <xf numFmtId="41" fontId="28" fillId="0" borderId="7" xfId="2" applyNumberFormat="1" applyFont="1" applyFill="1" applyBorder="1"/>
    <xf numFmtId="41" fontId="28" fillId="0" borderId="0" xfId="2" applyNumberFormat="1" applyFont="1" applyFill="1" applyBorder="1"/>
    <xf numFmtId="9" fontId="28" fillId="0" borderId="0" xfId="3" applyFont="1" applyFill="1" applyBorder="1"/>
    <xf numFmtId="0" fontId="25" fillId="0" borderId="0" xfId="0" applyFont="1" applyAlignment="1">
      <alignment horizontal="centerContinuous"/>
    </xf>
    <xf numFmtId="164" fontId="25" fillId="0" borderId="0" xfId="1" applyNumberFormat="1" applyFont="1" applyFill="1" applyBorder="1" applyAlignment="1">
      <alignment horizontal="centerContinuous"/>
    </xf>
    <xf numFmtId="43" fontId="25" fillId="0" borderId="0" xfId="1" applyFont="1" applyFill="1" applyBorder="1" applyAlignment="1">
      <alignment horizontal="centerContinuous"/>
    </xf>
    <xf numFmtId="41" fontId="25" fillId="0" borderId="0" xfId="1" applyNumberFormat="1" applyFont="1" applyFill="1" applyBorder="1" applyAlignment="1">
      <alignment horizontal="centerContinuous"/>
    </xf>
    <xf numFmtId="0" fontId="25" fillId="0" borderId="0" xfId="0" applyFont="1"/>
    <xf numFmtId="17" fontId="29" fillId="0" borderId="19" xfId="1" quotePrefix="1" applyNumberFormat="1" applyFont="1" applyFill="1" applyBorder="1" applyAlignment="1">
      <alignment horizontal="center"/>
    </xf>
    <xf numFmtId="43" fontId="25" fillId="0" borderId="0" xfId="0" applyNumberFormat="1" applyFont="1"/>
    <xf numFmtId="41" fontId="25" fillId="0" borderId="0" xfId="0" applyNumberFormat="1" applyFont="1"/>
    <xf numFmtId="37" fontId="25" fillId="0" borderId="0" xfId="0" applyNumberFormat="1" applyFont="1" applyAlignment="1">
      <alignment horizontal="centerContinuous"/>
    </xf>
    <xf numFmtId="166" fontId="25" fillId="0" borderId="0" xfId="0" applyNumberFormat="1" applyFont="1" applyAlignment="1">
      <alignment horizontal="centerContinuous"/>
    </xf>
    <xf numFmtId="42" fontId="28" fillId="0" borderId="2" xfId="1" applyNumberFormat="1" applyFont="1" applyFill="1" applyBorder="1"/>
    <xf numFmtId="41" fontId="28" fillId="0" borderId="15" xfId="1" applyNumberFormat="1" applyFont="1" applyFill="1" applyBorder="1"/>
    <xf numFmtId="9" fontId="28" fillId="0" borderId="15" xfId="3" applyFont="1" applyFill="1" applyBorder="1"/>
    <xf numFmtId="41" fontId="26" fillId="0" borderId="8" xfId="0" applyNumberFormat="1" applyFont="1" applyBorder="1"/>
    <xf numFmtId="9" fontId="28" fillId="0" borderId="2" xfId="3" applyFont="1" applyFill="1" applyBorder="1"/>
    <xf numFmtId="0" fontId="28" fillId="0" borderId="0" xfId="0" applyFont="1" applyAlignment="1">
      <alignment horizontal="right"/>
    </xf>
    <xf numFmtId="41" fontId="28" fillId="0" borderId="0" xfId="1" applyNumberFormat="1" applyFont="1" applyFill="1"/>
    <xf numFmtId="9" fontId="28" fillId="0" borderId="3" xfId="3" applyFont="1" applyFill="1" applyBorder="1"/>
    <xf numFmtId="0" fontId="32" fillId="4" borderId="0" xfId="0" applyFont="1" applyFill="1" applyAlignment="1">
      <alignment horizontal="left"/>
    </xf>
    <xf numFmtId="164" fontId="29" fillId="0" borderId="0" xfId="1" applyNumberFormat="1" applyFont="1" applyFill="1" applyBorder="1" applyAlignment="1">
      <alignment horizontal="center"/>
    </xf>
    <xf numFmtId="43" fontId="29" fillId="0" borderId="0" xfId="1" applyFont="1" applyFill="1" applyBorder="1" applyAlignment="1">
      <alignment horizontal="center" wrapText="1"/>
    </xf>
    <xf numFmtId="41" fontId="29" fillId="0" borderId="0" xfId="1" applyNumberFormat="1" applyFont="1" applyFill="1" applyBorder="1" applyAlignment="1">
      <alignment horizontal="right"/>
    </xf>
    <xf numFmtId="41" fontId="26" fillId="0" borderId="0" xfId="1" applyNumberFormat="1" applyFont="1" applyFill="1"/>
    <xf numFmtId="41" fontId="30" fillId="0" borderId="0" xfId="1" applyNumberFormat="1" applyFont="1" applyFill="1" applyBorder="1" applyAlignment="1">
      <alignment horizontal="center"/>
    </xf>
    <xf numFmtId="42" fontId="28" fillId="0" borderId="0" xfId="1" applyNumberFormat="1" applyFont="1" applyFill="1" applyBorder="1" applyAlignment="1"/>
    <xf numFmtId="41" fontId="28" fillId="0" borderId="12" xfId="1" applyNumberFormat="1" applyFont="1" applyFill="1" applyBorder="1" applyAlignment="1"/>
    <xf numFmtId="41" fontId="26" fillId="0" borderId="12" xfId="1" applyNumberFormat="1" applyFont="1" applyFill="1" applyBorder="1"/>
    <xf numFmtId="41" fontId="29" fillId="0" borderId="0" xfId="1" applyNumberFormat="1" applyFont="1" applyFill="1" applyBorder="1" applyAlignment="1">
      <alignment horizontal="center" wrapText="1"/>
    </xf>
    <xf numFmtId="37" fontId="26" fillId="0" borderId="0" xfId="0" applyNumberFormat="1" applyFont="1" applyAlignment="1">
      <alignment horizontal="left"/>
    </xf>
    <xf numFmtId="41" fontId="26" fillId="0" borderId="0" xfId="1" applyNumberFormat="1" applyFont="1" applyFill="1" applyBorder="1" applyAlignment="1">
      <alignment horizontal="center"/>
    </xf>
    <xf numFmtId="41" fontId="26" fillId="0" borderId="0" xfId="1" applyNumberFormat="1" applyFont="1" applyFill="1" applyAlignment="1">
      <alignment horizontal="center"/>
    </xf>
    <xf numFmtId="37" fontId="28" fillId="0" borderId="0" xfId="0" applyNumberFormat="1" applyFont="1" applyAlignment="1">
      <alignment horizontal="left"/>
    </xf>
    <xf numFmtId="41" fontId="28" fillId="0" borderId="0" xfId="1" applyNumberFormat="1" applyFont="1" applyFill="1" applyBorder="1" applyAlignment="1"/>
    <xf numFmtId="41" fontId="28" fillId="0" borderId="3" xfId="1" applyNumberFormat="1" applyFont="1" applyFill="1" applyBorder="1" applyAlignment="1"/>
    <xf numFmtId="0" fontId="32" fillId="4" borderId="0" xfId="0" applyFont="1" applyFill="1"/>
    <xf numFmtId="43" fontId="28" fillId="0" borderId="0" xfId="0" applyNumberFormat="1" applyFont="1"/>
    <xf numFmtId="41" fontId="28" fillId="0" borderId="0" xfId="0" applyNumberFormat="1" applyFont="1"/>
    <xf numFmtId="41" fontId="28" fillId="0" borderId="2" xfId="0" applyNumberFormat="1" applyFont="1" applyBorder="1"/>
    <xf numFmtId="41" fontId="28" fillId="0" borderId="15" xfId="0" applyNumberFormat="1" applyFont="1" applyBorder="1"/>
    <xf numFmtId="0" fontId="33" fillId="4" borderId="0" xfId="0" applyFont="1" applyFill="1"/>
    <xf numFmtId="0" fontId="30" fillId="0" borderId="0" xfId="0" applyFont="1"/>
    <xf numFmtId="43" fontId="30" fillId="0" borderId="0" xfId="0" applyNumberFormat="1" applyFont="1"/>
    <xf numFmtId="41" fontId="30" fillId="0" borderId="0" xfId="0" applyNumberFormat="1" applyFont="1"/>
    <xf numFmtId="43" fontId="16" fillId="0" borderId="0" xfId="0" applyNumberFormat="1" applyFont="1"/>
    <xf numFmtId="164" fontId="28" fillId="0" borderId="2" xfId="1" applyNumberFormat="1" applyFont="1" applyFill="1" applyBorder="1" applyAlignment="1">
      <alignment horizontal="center"/>
    </xf>
    <xf numFmtId="41" fontId="28" fillId="0" borderId="19" xfId="1" applyNumberFormat="1" applyFont="1" applyFill="1" applyBorder="1" applyAlignment="1">
      <alignment horizontal="right"/>
    </xf>
    <xf numFmtId="174" fontId="29" fillId="0" borderId="0" xfId="1" quotePrefix="1" applyNumberFormat="1" applyFont="1" applyFill="1" applyBorder="1" applyAlignment="1">
      <alignment horizontal="center"/>
    </xf>
    <xf numFmtId="174" fontId="29" fillId="0" borderId="19" xfId="1" quotePrefix="1" applyNumberFormat="1" applyFont="1" applyFill="1" applyBorder="1" applyAlignment="1">
      <alignment horizontal="center"/>
    </xf>
    <xf numFmtId="174" fontId="29" fillId="0" borderId="19" xfId="1" applyNumberFormat="1" applyFont="1" applyFill="1" applyBorder="1" applyAlignment="1">
      <alignment horizontal="center"/>
    </xf>
    <xf numFmtId="41" fontId="28" fillId="0" borderId="0" xfId="0" applyNumberFormat="1" applyFont="1" applyAlignment="1">
      <alignment horizontal="right"/>
    </xf>
    <xf numFmtId="9" fontId="28" fillId="0" borderId="0" xfId="0" applyNumberFormat="1" applyFont="1" applyAlignment="1">
      <alignment horizontal="right"/>
    </xf>
    <xf numFmtId="41" fontId="26" fillId="0" borderId="0" xfId="1" applyNumberFormat="1" applyFont="1" applyFill="1" applyBorder="1" applyAlignment="1"/>
    <xf numFmtId="9" fontId="26" fillId="0" borderId="0" xfId="1" applyNumberFormat="1" applyFont="1" applyFill="1" applyBorder="1" applyAlignment="1"/>
    <xf numFmtId="41" fontId="26" fillId="0" borderId="4" xfId="1" applyNumberFormat="1" applyFont="1" applyFill="1" applyBorder="1"/>
    <xf numFmtId="164" fontId="28" fillId="0" borderId="17" xfId="1" applyNumberFormat="1" applyFont="1" applyFill="1" applyBorder="1"/>
    <xf numFmtId="164" fontId="28" fillId="0" borderId="17" xfId="1" applyNumberFormat="1" applyFont="1" applyFill="1" applyBorder="1" applyAlignment="1">
      <alignment horizontal="right"/>
    </xf>
    <xf numFmtId="41" fontId="28" fillId="0" borderId="17" xfId="1" applyNumberFormat="1" applyFont="1" applyFill="1" applyBorder="1"/>
    <xf numFmtId="41" fontId="28" fillId="0" borderId="17" xfId="1" applyNumberFormat="1" applyFont="1" applyFill="1" applyBorder="1" applyAlignment="1">
      <alignment horizontal="right"/>
    </xf>
    <xf numFmtId="41" fontId="28" fillId="0" borderId="15" xfId="1" applyNumberFormat="1" applyFont="1" applyFill="1" applyBorder="1" applyAlignment="1">
      <alignment horizontal="right"/>
    </xf>
    <xf numFmtId="41" fontId="28" fillId="0" borderId="15" xfId="1" applyNumberFormat="1" applyFont="1" applyFill="1" applyBorder="1" applyAlignment="1"/>
    <xf numFmtId="9" fontId="28" fillId="0" borderId="15" xfId="1" applyNumberFormat="1" applyFont="1" applyFill="1" applyBorder="1" applyAlignment="1"/>
    <xf numFmtId="164" fontId="28" fillId="0" borderId="0" xfId="1" applyNumberFormat="1" applyFont="1" applyFill="1" applyBorder="1"/>
    <xf numFmtId="41" fontId="28" fillId="0" borderId="4" xfId="1" applyNumberFormat="1" applyFont="1" applyFill="1" applyBorder="1" applyAlignment="1">
      <alignment horizontal="right"/>
    </xf>
    <xf numFmtId="165" fontId="28" fillId="0" borderId="17" xfId="2" applyNumberFormat="1" applyFont="1" applyFill="1" applyBorder="1"/>
    <xf numFmtId="165" fontId="26" fillId="0" borderId="17" xfId="2" applyNumberFormat="1" applyFont="1" applyFill="1" applyBorder="1"/>
    <xf numFmtId="165" fontId="26" fillId="0" borderId="17" xfId="2" applyNumberFormat="1" applyFont="1" applyFill="1" applyBorder="1" applyAlignment="1">
      <alignment horizontal="right"/>
    </xf>
    <xf numFmtId="41" fontId="28" fillId="0" borderId="17" xfId="2" applyNumberFormat="1" applyFont="1" applyFill="1" applyBorder="1" applyAlignment="1">
      <alignment horizontal="right"/>
    </xf>
    <xf numFmtId="41" fontId="28" fillId="0" borderId="15" xfId="2" applyNumberFormat="1" applyFont="1" applyFill="1" applyBorder="1" applyAlignment="1">
      <alignment horizontal="right"/>
    </xf>
    <xf numFmtId="165" fontId="28" fillId="0" borderId="0" xfId="2" applyNumberFormat="1" applyFont="1" applyFill="1" applyBorder="1"/>
    <xf numFmtId="165" fontId="26" fillId="0" borderId="0" xfId="2" applyNumberFormat="1" applyFont="1" applyFill="1" applyBorder="1"/>
    <xf numFmtId="165" fontId="26" fillId="0" borderId="0" xfId="2" applyNumberFormat="1" applyFont="1" applyFill="1" applyBorder="1" applyAlignment="1">
      <alignment horizontal="right"/>
    </xf>
    <xf numFmtId="41" fontId="28" fillId="0" borderId="0" xfId="2" applyNumberFormat="1" applyFont="1" applyFill="1" applyBorder="1" applyAlignment="1">
      <alignment horizontal="right"/>
    </xf>
    <xf numFmtId="9" fontId="28" fillId="0" borderId="0" xfId="1" applyNumberFormat="1" applyFont="1" applyFill="1" applyBorder="1" applyAlignment="1"/>
    <xf numFmtId="165" fontId="28" fillId="0" borderId="16" xfId="2" applyNumberFormat="1" applyFont="1" applyFill="1" applyBorder="1"/>
    <xf numFmtId="165" fontId="28" fillId="0" borderId="16" xfId="2" applyNumberFormat="1" applyFont="1" applyFill="1" applyBorder="1" applyAlignment="1">
      <alignment horizontal="right"/>
    </xf>
    <xf numFmtId="41" fontId="28" fillId="0" borderId="16" xfId="1" applyNumberFormat="1" applyFont="1" applyFill="1" applyBorder="1"/>
    <xf numFmtId="41" fontId="28" fillId="0" borderId="16" xfId="2" applyNumberFormat="1" applyFont="1" applyFill="1" applyBorder="1" applyAlignment="1">
      <alignment horizontal="right"/>
    </xf>
    <xf numFmtId="41" fontId="28" fillId="0" borderId="18" xfId="1" applyNumberFormat="1" applyFont="1" applyFill="1" applyBorder="1"/>
    <xf numFmtId="41" fontId="28" fillId="0" borderId="18" xfId="2" applyNumberFormat="1" applyFont="1" applyFill="1" applyBorder="1" applyAlignment="1">
      <alignment horizontal="right"/>
    </xf>
    <xf numFmtId="9" fontId="28" fillId="0" borderId="18" xfId="1" applyNumberFormat="1" applyFont="1" applyFill="1" applyBorder="1" applyAlignment="1"/>
    <xf numFmtId="41" fontId="26" fillId="0" borderId="0" xfId="0" applyNumberFormat="1" applyFont="1" applyAlignment="1">
      <alignment horizontal="right"/>
    </xf>
    <xf numFmtId="9" fontId="26" fillId="0" borderId="0" xfId="0" applyNumberFormat="1" applyFont="1" applyAlignment="1">
      <alignment horizontal="right"/>
    </xf>
    <xf numFmtId="164" fontId="26" fillId="0" borderId="17" xfId="1" applyNumberFormat="1" applyFont="1" applyFill="1" applyBorder="1"/>
    <xf numFmtId="164" fontId="26" fillId="0" borderId="17" xfId="1" applyNumberFormat="1" applyFont="1" applyFill="1" applyBorder="1" applyAlignment="1">
      <alignment horizontal="right"/>
    </xf>
    <xf numFmtId="41" fontId="26" fillId="0" borderId="17" xfId="0" applyNumberFormat="1" applyFont="1" applyBorder="1" applyAlignment="1">
      <alignment horizontal="right"/>
    </xf>
    <xf numFmtId="41" fontId="26" fillId="0" borderId="15" xfId="0" applyNumberFormat="1" applyFont="1" applyBorder="1" applyAlignment="1">
      <alignment horizontal="right"/>
    </xf>
    <xf numFmtId="9" fontId="28" fillId="0" borderId="0" xfId="1" applyNumberFormat="1" applyFont="1" applyFill="1" applyBorder="1"/>
    <xf numFmtId="0" fontId="26" fillId="0" borderId="0" xfId="1" applyNumberFormat="1" applyFont="1" applyFill="1" applyBorder="1" applyAlignment="1"/>
    <xf numFmtId="164" fontId="30" fillId="0" borderId="0" xfId="1" applyNumberFormat="1" applyFont="1" applyFill="1" applyBorder="1"/>
    <xf numFmtId="164" fontId="30" fillId="0" borderId="0" xfId="1" applyNumberFormat="1" applyFont="1" applyFill="1" applyBorder="1" applyAlignment="1">
      <alignment horizontal="right"/>
    </xf>
    <xf numFmtId="41" fontId="30" fillId="0" borderId="0" xfId="1" applyNumberFormat="1" applyFont="1" applyFill="1" applyBorder="1"/>
    <xf numFmtId="41" fontId="30" fillId="0" borderId="0" xfId="1" applyNumberFormat="1" applyFont="1" applyFill="1" applyBorder="1" applyAlignment="1">
      <alignment horizontal="right"/>
    </xf>
    <xf numFmtId="9" fontId="30" fillId="0" borderId="0" xfId="1" applyNumberFormat="1" applyFont="1" applyFill="1" applyBorder="1"/>
    <xf numFmtId="0" fontId="34" fillId="0" borderId="0" xfId="0" applyFont="1"/>
    <xf numFmtId="164" fontId="34" fillId="0" borderId="0" xfId="1" applyNumberFormat="1" applyFont="1" applyFill="1" applyBorder="1"/>
    <xf numFmtId="164" fontId="34" fillId="0" borderId="0" xfId="1" applyNumberFormat="1" applyFont="1" applyFill="1" applyBorder="1" applyAlignment="1">
      <alignment horizontal="right"/>
    </xf>
    <xf numFmtId="41" fontId="34" fillId="0" borderId="0" xfId="1" applyNumberFormat="1" applyFont="1" applyFill="1" applyBorder="1"/>
    <xf numFmtId="41" fontId="35" fillId="0" borderId="0" xfId="1" applyNumberFormat="1" applyFont="1" applyFill="1" applyBorder="1" applyAlignment="1">
      <alignment horizontal="right"/>
    </xf>
    <xf numFmtId="37" fontId="32" fillId="4" borderId="0" xfId="0" applyNumberFormat="1" applyFont="1" applyFill="1" applyAlignment="1">
      <alignment horizontal="left"/>
    </xf>
    <xf numFmtId="0" fontId="26" fillId="0" borderId="0" xfId="0" applyFont="1" applyAlignment="1">
      <alignment horizontal="center"/>
    </xf>
    <xf numFmtId="43" fontId="26" fillId="0" borderId="0" xfId="1" applyFont="1" applyFill="1" applyBorder="1" applyAlignment="1">
      <alignment horizontal="center"/>
    </xf>
    <xf numFmtId="41" fontId="26" fillId="0" borderId="17" xfId="1" applyNumberFormat="1" applyFont="1" applyFill="1" applyBorder="1"/>
    <xf numFmtId="164" fontId="28" fillId="0" borderId="15" xfId="1" applyNumberFormat="1" applyFont="1" applyFill="1" applyBorder="1"/>
    <xf numFmtId="37" fontId="26" fillId="0" borderId="15" xfId="0" applyNumberFormat="1" applyFont="1" applyBorder="1"/>
    <xf numFmtId="164" fontId="28" fillId="0" borderId="16" xfId="1" applyNumberFormat="1" applyFont="1" applyFill="1" applyBorder="1"/>
    <xf numFmtId="164" fontId="28" fillId="0" borderId="16" xfId="1" applyNumberFormat="1" applyFont="1" applyFill="1" applyBorder="1" applyAlignment="1">
      <alignment horizontal="right"/>
    </xf>
    <xf numFmtId="41" fontId="28" fillId="0" borderId="16" xfId="1" applyNumberFormat="1" applyFont="1" applyFill="1" applyBorder="1" applyAlignment="1">
      <alignment horizontal="right"/>
    </xf>
    <xf numFmtId="41" fontId="28" fillId="0" borderId="18" xfId="1" applyNumberFormat="1" applyFont="1" applyFill="1" applyBorder="1" applyAlignment="1">
      <alignment horizontal="right"/>
    </xf>
    <xf numFmtId="41" fontId="26" fillId="0" borderId="17" xfId="1" applyNumberFormat="1" applyFont="1" applyFill="1" applyBorder="1" applyAlignment="1">
      <alignment horizontal="right"/>
    </xf>
    <xf numFmtId="41" fontId="26" fillId="0" borderId="15" xfId="1" applyNumberFormat="1" applyFont="1" applyFill="1" applyBorder="1" applyAlignment="1">
      <alignment horizontal="right"/>
    </xf>
    <xf numFmtId="164" fontId="28" fillId="0" borderId="17" xfId="0" applyNumberFormat="1" applyFont="1" applyBorder="1"/>
    <xf numFmtId="0" fontId="26" fillId="0" borderId="17" xfId="0" applyFont="1" applyBorder="1"/>
    <xf numFmtId="164" fontId="28" fillId="0" borderId="21" xfId="1" applyNumberFormat="1" applyFont="1" applyFill="1" applyBorder="1"/>
    <xf numFmtId="164" fontId="26" fillId="0" borderId="21" xfId="1" applyNumberFormat="1" applyFont="1" applyFill="1" applyBorder="1"/>
    <xf numFmtId="164" fontId="26" fillId="0" borderId="21" xfId="1" applyNumberFormat="1" applyFont="1" applyFill="1" applyBorder="1" applyAlignment="1">
      <alignment horizontal="right"/>
    </xf>
    <xf numFmtId="41" fontId="28" fillId="0" borderId="21" xfId="1" applyNumberFormat="1" applyFont="1" applyFill="1" applyBorder="1"/>
    <xf numFmtId="41" fontId="26" fillId="0" borderId="21" xfId="0" applyNumberFormat="1" applyFont="1" applyBorder="1" applyAlignment="1">
      <alignment horizontal="right"/>
    </xf>
    <xf numFmtId="41" fontId="28" fillId="0" borderId="11" xfId="1" applyNumberFormat="1" applyFont="1" applyFill="1" applyBorder="1"/>
    <xf numFmtId="41" fontId="26" fillId="0" borderId="11" xfId="0" applyNumberFormat="1" applyFont="1" applyBorder="1" applyAlignment="1">
      <alignment horizontal="right"/>
    </xf>
    <xf numFmtId="9" fontId="28" fillId="0" borderId="11" xfId="1" applyNumberFormat="1" applyFont="1" applyFill="1" applyBorder="1" applyAlignment="1"/>
    <xf numFmtId="41" fontId="26" fillId="0" borderId="15" xfId="0" applyNumberFormat="1" applyFont="1" applyBorder="1"/>
    <xf numFmtId="41" fontId="26" fillId="0" borderId="4" xfId="1" applyNumberFormat="1" applyFont="1" applyFill="1" applyBorder="1" applyAlignment="1"/>
    <xf numFmtId="41" fontId="28" fillId="0" borderId="17" xfId="0" applyNumberFormat="1" applyFont="1" applyBorder="1" applyAlignment="1">
      <alignment horizontal="right"/>
    </xf>
    <xf numFmtId="41" fontId="28" fillId="0" borderId="15" xfId="0" applyNumberFormat="1" applyFont="1" applyBorder="1" applyAlignment="1">
      <alignment horizontal="right"/>
    </xf>
    <xf numFmtId="165" fontId="28" fillId="0" borderId="3" xfId="2" applyNumberFormat="1" applyFont="1" applyFill="1" applyBorder="1"/>
    <xf numFmtId="41" fontId="26" fillId="0" borderId="12" xfId="0" applyNumberFormat="1" applyFont="1" applyBorder="1" applyAlignment="1">
      <alignment horizontal="right"/>
    </xf>
    <xf numFmtId="9" fontId="28" fillId="0" borderId="12" xfId="1" applyNumberFormat="1" applyFont="1" applyFill="1" applyBorder="1" applyAlignment="1"/>
    <xf numFmtId="43" fontId="28" fillId="0" borderId="11" xfId="1" applyFont="1" applyFill="1" applyBorder="1" applyAlignment="1">
      <alignment horizontal="centerContinuous"/>
    </xf>
    <xf numFmtId="41" fontId="28" fillId="0" borderId="11" xfId="1" applyNumberFormat="1" applyFont="1" applyFill="1" applyBorder="1" applyAlignment="1">
      <alignment horizontal="centerContinuous"/>
    </xf>
    <xf numFmtId="164" fontId="26" fillId="0" borderId="11" xfId="1" applyNumberFormat="1" applyFont="1" applyFill="1" applyBorder="1"/>
    <xf numFmtId="9" fontId="28" fillId="0" borderId="11" xfId="0" applyNumberFormat="1" applyFont="1" applyBorder="1" applyAlignment="1">
      <alignment horizontal="centerContinuous"/>
    </xf>
    <xf numFmtId="0" fontId="28" fillId="0" borderId="2" xfId="0" applyFont="1" applyBorder="1" applyAlignment="1">
      <alignment horizontal="center"/>
    </xf>
    <xf numFmtId="43" fontId="29" fillId="0" borderId="11" xfId="1" applyFont="1" applyFill="1" applyBorder="1" applyAlignment="1">
      <alignment horizontal="center" wrapText="1"/>
    </xf>
    <xf numFmtId="41" fontId="29" fillId="0" borderId="11" xfId="1" applyNumberFormat="1" applyFont="1" applyFill="1" applyBorder="1" applyAlignment="1">
      <alignment horizontal="center" wrapText="1"/>
    </xf>
    <xf numFmtId="174" fontId="29" fillId="0" borderId="11" xfId="1" quotePrefix="1" applyNumberFormat="1" applyFont="1" applyFill="1" applyBorder="1" applyAlignment="1">
      <alignment horizontal="center"/>
    </xf>
    <xf numFmtId="43" fontId="29" fillId="0" borderId="11" xfId="1" applyFont="1" applyFill="1" applyBorder="1" applyAlignment="1">
      <alignment horizontal="center"/>
    </xf>
    <xf numFmtId="41" fontId="29" fillId="0" borderId="11" xfId="1" applyNumberFormat="1" applyFont="1" applyFill="1" applyBorder="1" applyAlignment="1">
      <alignment horizontal="center"/>
    </xf>
    <xf numFmtId="9" fontId="29" fillId="0" borderId="11" xfId="0" applyNumberFormat="1" applyFont="1" applyBorder="1" applyAlignment="1">
      <alignment horizontal="center" wrapText="1"/>
    </xf>
    <xf numFmtId="9" fontId="30" fillId="0" borderId="0" xfId="0" applyNumberFormat="1" applyFont="1" applyAlignment="1">
      <alignment horizontal="center"/>
    </xf>
    <xf numFmtId="43" fontId="29" fillId="0" borderId="0" xfId="1" applyFont="1" applyFill="1" applyBorder="1" applyAlignment="1">
      <alignment horizontal="right"/>
    </xf>
    <xf numFmtId="44" fontId="26" fillId="0" borderId="13" xfId="1" applyNumberFormat="1" applyFont="1" applyFill="1" applyBorder="1" applyAlignment="1"/>
    <xf numFmtId="41" fontId="28" fillId="0" borderId="13" xfId="1" applyNumberFormat="1" applyFont="1" applyFill="1" applyBorder="1" applyAlignment="1"/>
    <xf numFmtId="41" fontId="26" fillId="0" borderId="13" xfId="1" applyNumberFormat="1" applyFont="1" applyFill="1" applyBorder="1" applyAlignment="1"/>
    <xf numFmtId="164" fontId="28" fillId="0" borderId="13" xfId="1" applyNumberFormat="1" applyFont="1" applyFill="1" applyBorder="1" applyAlignment="1"/>
    <xf numFmtId="164" fontId="28" fillId="0" borderId="12" xfId="1" applyNumberFormat="1" applyFont="1" applyFill="1" applyBorder="1" applyAlignment="1"/>
    <xf numFmtId="9" fontId="28" fillId="0" borderId="12" xfId="0" applyNumberFormat="1" applyFont="1" applyBorder="1"/>
    <xf numFmtId="164" fontId="29" fillId="0" borderId="0" xfId="1" applyNumberFormat="1" applyFont="1" applyFill="1" applyBorder="1" applyAlignment="1">
      <alignment horizontal="right"/>
    </xf>
    <xf numFmtId="164" fontId="26" fillId="0" borderId="0" xfId="1" applyNumberFormat="1" applyFont="1" applyFill="1" applyAlignment="1">
      <alignment horizontal="center"/>
    </xf>
    <xf numFmtId="164" fontId="26" fillId="0" borderId="14" xfId="1" applyNumberFormat="1" applyFont="1" applyFill="1" applyBorder="1" applyAlignment="1">
      <alignment horizontal="center"/>
    </xf>
    <xf numFmtId="41" fontId="28" fillId="0" borderId="14" xfId="1" applyNumberFormat="1" applyFont="1" applyFill="1" applyBorder="1" applyAlignment="1"/>
    <xf numFmtId="41" fontId="26" fillId="0" borderId="14" xfId="1" applyNumberFormat="1" applyFont="1" applyFill="1" applyBorder="1" applyAlignment="1">
      <alignment horizontal="center"/>
    </xf>
    <xf numFmtId="164" fontId="28" fillId="0" borderId="14" xfId="1" applyNumberFormat="1" applyFont="1" applyFill="1" applyBorder="1" applyAlignment="1"/>
    <xf numFmtId="164" fontId="28" fillId="0" borderId="15" xfId="1" applyNumberFormat="1" applyFont="1" applyFill="1" applyBorder="1" applyAlignment="1"/>
    <xf numFmtId="9" fontId="28" fillId="0" borderId="15" xfId="0" applyNumberFormat="1" applyFont="1" applyBorder="1"/>
    <xf numFmtId="44" fontId="26" fillId="0" borderId="16" xfId="1" applyNumberFormat="1" applyFont="1" applyFill="1" applyBorder="1"/>
    <xf numFmtId="41" fontId="28" fillId="0" borderId="16" xfId="1" applyNumberFormat="1" applyFont="1" applyFill="1" applyBorder="1" applyAlignment="1"/>
    <xf numFmtId="41" fontId="26" fillId="0" borderId="16" xfId="1" applyNumberFormat="1" applyFont="1" applyFill="1" applyBorder="1"/>
    <xf numFmtId="164" fontId="28" fillId="0" borderId="16" xfId="1" applyNumberFormat="1" applyFont="1" applyFill="1" applyBorder="1" applyAlignment="1"/>
    <xf numFmtId="164" fontId="28" fillId="0" borderId="0" xfId="1" applyNumberFormat="1" applyFont="1" applyFill="1" applyBorder="1" applyAlignment="1"/>
    <xf numFmtId="10" fontId="28" fillId="0" borderId="0" xfId="1" applyNumberFormat="1" applyFont="1" applyFill="1" applyBorder="1" applyAlignment="1">
      <alignment horizontal="right"/>
    </xf>
    <xf numFmtId="43" fontId="28" fillId="0" borderId="0" xfId="1" applyFont="1" applyFill="1" applyBorder="1"/>
    <xf numFmtId="164" fontId="28" fillId="0" borderId="0" xfId="0" applyNumberFormat="1" applyFont="1"/>
    <xf numFmtId="43" fontId="28" fillId="0" borderId="17" xfId="1" applyFont="1" applyFill="1" applyBorder="1"/>
    <xf numFmtId="9" fontId="28" fillId="0" borderId="0" xfId="0" applyNumberFormat="1" applyFont="1"/>
    <xf numFmtId="9" fontId="28" fillId="0" borderId="15" xfId="1" applyNumberFormat="1" applyFont="1" applyFill="1" applyBorder="1"/>
    <xf numFmtId="164" fontId="28" fillId="0" borderId="18" xfId="1" applyNumberFormat="1" applyFont="1" applyFill="1" applyBorder="1"/>
    <xf numFmtId="9" fontId="28" fillId="0" borderId="18" xfId="0" applyNumberFormat="1" applyFont="1" applyBorder="1"/>
    <xf numFmtId="37" fontId="26" fillId="0" borderId="0" xfId="1" applyNumberFormat="1" applyFont="1" applyFill="1"/>
    <xf numFmtId="41" fontId="26" fillId="0" borderId="15" xfId="1" applyNumberFormat="1" applyFont="1" applyFill="1" applyBorder="1"/>
    <xf numFmtId="43" fontId="26" fillId="0" borderId="0" xfId="1" applyFont="1" applyFill="1"/>
    <xf numFmtId="37" fontId="26" fillId="0" borderId="0" xfId="0" applyNumberFormat="1" applyFont="1" applyAlignment="1">
      <alignment horizontal="right"/>
    </xf>
    <xf numFmtId="41" fontId="31" fillId="0" borderId="0" xfId="1" applyNumberFormat="1" applyFont="1" applyFill="1" applyBorder="1"/>
    <xf numFmtId="41" fontId="28" fillId="0" borderId="13" xfId="1" applyNumberFormat="1" applyFont="1" applyFill="1" applyBorder="1"/>
    <xf numFmtId="164" fontId="28" fillId="0" borderId="13" xfId="1" applyNumberFormat="1" applyFont="1" applyFill="1" applyBorder="1"/>
    <xf numFmtId="164" fontId="28" fillId="0" borderId="12" xfId="1" applyNumberFormat="1" applyFont="1" applyFill="1" applyBorder="1"/>
    <xf numFmtId="41" fontId="28" fillId="0" borderId="12" xfId="1" applyNumberFormat="1" applyFont="1" applyFill="1" applyBorder="1"/>
    <xf numFmtId="0" fontId="28" fillId="0" borderId="0" xfId="0" applyFont="1" applyAlignment="1">
      <alignment horizontal="left" indent="2"/>
    </xf>
    <xf numFmtId="37" fontId="28" fillId="0" borderId="0" xfId="0" applyNumberFormat="1" applyFont="1" applyAlignment="1">
      <alignment horizontal="left" indent="2"/>
    </xf>
    <xf numFmtId="0" fontId="10" fillId="0" borderId="0" xfId="0" applyFont="1" applyAlignment="1">
      <alignment horizontal="left"/>
    </xf>
    <xf numFmtId="164" fontId="10" fillId="0" borderId="0" xfId="1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28" fillId="0" borderId="3" xfId="1" applyFont="1" applyFill="1" applyBorder="1"/>
    <xf numFmtId="41" fontId="28" fillId="0" borderId="19" xfId="1" applyNumberFormat="1" applyFont="1" applyFill="1" applyBorder="1" applyAlignment="1">
      <alignment horizontal="center"/>
    </xf>
    <xf numFmtId="164" fontId="26" fillId="5" borderId="0" xfId="1" applyNumberFormat="1" applyFont="1" applyFill="1" applyBorder="1"/>
    <xf numFmtId="41" fontId="26" fillId="5" borderId="0" xfId="1" applyNumberFormat="1" applyFont="1" applyFill="1" applyBorder="1"/>
    <xf numFmtId="41" fontId="28" fillId="5" borderId="0" xfId="1" applyNumberFormat="1" applyFont="1" applyFill="1" applyBorder="1"/>
    <xf numFmtId="0" fontId="37" fillId="0" borderId="0" xfId="0" applyFont="1"/>
    <xf numFmtId="175" fontId="8" fillId="0" borderId="0" xfId="0" applyNumberFormat="1" applyFont="1"/>
    <xf numFmtId="176" fontId="8" fillId="0" borderId="4" xfId="0" applyNumberFormat="1" applyFont="1" applyBorder="1"/>
    <xf numFmtId="0" fontId="26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8" fillId="0" borderId="10" xfId="0" applyFont="1" applyBorder="1" applyAlignment="1">
      <alignment horizontal="left"/>
    </xf>
    <xf numFmtId="37" fontId="32" fillId="4" borderId="0" xfId="0" applyNumberFormat="1" applyFont="1" applyFill="1" applyAlignment="1">
      <alignment horizontal="left"/>
    </xf>
    <xf numFmtId="0" fontId="28" fillId="0" borderId="0" xfId="0" applyFont="1" applyAlignment="1">
      <alignment horizontal="left"/>
    </xf>
    <xf numFmtId="0" fontId="28" fillId="0" borderId="20" xfId="0" applyFont="1" applyBorder="1" applyAlignment="1">
      <alignment horizontal="left"/>
    </xf>
    <xf numFmtId="41" fontId="28" fillId="0" borderId="19" xfId="0" applyNumberFormat="1" applyFont="1" applyBorder="1" applyAlignment="1">
      <alignment horizontal="center"/>
    </xf>
    <xf numFmtId="41" fontId="28" fillId="0" borderId="19" xfId="1" applyNumberFormat="1" applyFont="1" applyFill="1" applyBorder="1" applyAlignment="1">
      <alignment horizontal="center"/>
    </xf>
    <xf numFmtId="0" fontId="32" fillId="4" borderId="0" xfId="0" applyFont="1" applyFill="1" applyAlignment="1">
      <alignment horizontal="left"/>
    </xf>
    <xf numFmtId="37" fontId="28" fillId="0" borderId="19" xfId="1" applyNumberFormat="1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86"/>
  <sheetViews>
    <sheetView zoomScaleNormal="100" workbookViewId="0">
      <selection activeCell="F12" sqref="F12"/>
    </sheetView>
  </sheetViews>
  <sheetFormatPr defaultRowHeight="13.5"/>
  <cols>
    <col min="1" max="1" width="3.42578125" style="39" customWidth="1"/>
    <col min="2" max="2" width="30.5703125" style="39" customWidth="1"/>
    <col min="3" max="3" width="2" style="39" customWidth="1"/>
    <col min="4" max="4" width="16.85546875" style="39" customWidth="1"/>
    <col min="5" max="5" width="21.5703125" style="39" customWidth="1"/>
    <col min="6" max="6" width="6.7109375" style="39" customWidth="1"/>
    <col min="7" max="8" width="11.7109375" style="39" customWidth="1"/>
    <col min="9" max="9" width="6.28515625" style="39" customWidth="1"/>
    <col min="10" max="10" width="11.7109375" style="39" customWidth="1"/>
    <col min="11" max="11" width="21.28515625" style="39" customWidth="1"/>
    <col min="12" max="12" width="10.42578125" style="39" customWidth="1"/>
    <col min="13" max="15" width="11.5703125" style="39" customWidth="1"/>
    <col min="16" max="16384" width="9.140625" style="39"/>
  </cols>
  <sheetData>
    <row r="1" spans="2:6" ht="18.75">
      <c r="B1" s="42"/>
      <c r="C1" s="57"/>
      <c r="D1" s="57"/>
    </row>
    <row r="2" spans="2:6">
      <c r="F2" s="58"/>
    </row>
    <row r="3" spans="2:6">
      <c r="F3"/>
    </row>
    <row r="4" spans="2:6" ht="16.5">
      <c r="B4" s="41" t="s">
        <v>737</v>
      </c>
      <c r="E4" s="41" t="s">
        <v>1403</v>
      </c>
    </row>
    <row r="5" spans="2:6" ht="6" customHeight="1">
      <c r="B5" s="42"/>
      <c r="C5" s="42"/>
      <c r="D5" s="42"/>
      <c r="E5" s="41"/>
      <c r="F5" s="47"/>
    </row>
    <row r="6" spans="2:6" ht="16.5">
      <c r="B6" s="41" t="s">
        <v>743</v>
      </c>
      <c r="C6" s="42"/>
      <c r="D6" s="42"/>
      <c r="E6" s="41" t="s">
        <v>1404</v>
      </c>
      <c r="F6" s="47"/>
    </row>
    <row r="7" spans="2:6" ht="6" customHeight="1">
      <c r="B7" s="42"/>
      <c r="C7" s="42"/>
      <c r="D7" s="42"/>
      <c r="E7" s="41"/>
      <c r="F7" s="47"/>
    </row>
    <row r="8" spans="2:6" ht="16.5">
      <c r="B8" s="42"/>
      <c r="C8" s="42"/>
      <c r="D8" s="42"/>
      <c r="E8" s="41" t="s">
        <v>1303</v>
      </c>
      <c r="F8" s="47"/>
    </row>
    <row r="9" spans="2:6" ht="6" customHeight="1">
      <c r="B9" s="42"/>
      <c r="C9" s="42"/>
      <c r="D9" s="42"/>
      <c r="E9" s="41"/>
      <c r="F9" s="47"/>
    </row>
    <row r="10" spans="2:6" ht="16.5">
      <c r="B10" s="42"/>
      <c r="C10" s="42"/>
      <c r="D10" s="42"/>
      <c r="E10" s="41" t="s">
        <v>1405</v>
      </c>
      <c r="F10" s="47"/>
    </row>
    <row r="11" spans="2:6" ht="4.5" customHeight="1">
      <c r="B11" s="42"/>
      <c r="C11" s="42"/>
      <c r="D11" s="42"/>
      <c r="E11" s="41"/>
      <c r="F11" s="47"/>
    </row>
    <row r="12" spans="2:6" ht="16.5">
      <c r="B12" s="42"/>
      <c r="C12" s="42"/>
      <c r="D12" s="42"/>
      <c r="E12" s="41" t="s">
        <v>1304</v>
      </c>
      <c r="F12" s="47"/>
    </row>
    <row r="13" spans="2:6" ht="4.5" customHeight="1">
      <c r="B13" s="42"/>
      <c r="C13" s="42"/>
      <c r="D13" s="42"/>
      <c r="E13" s="41"/>
      <c r="F13" s="47"/>
    </row>
    <row r="14" spans="2:6" ht="15" customHeight="1">
      <c r="B14" s="42"/>
      <c r="C14" s="42"/>
      <c r="D14" s="42"/>
      <c r="E14" s="41" t="s">
        <v>1305</v>
      </c>
      <c r="F14" s="47"/>
    </row>
    <row r="15" spans="2:6" ht="6.75" customHeight="1">
      <c r="B15" s="42"/>
      <c r="C15" s="42"/>
      <c r="D15" s="42"/>
      <c r="E15" s="41"/>
      <c r="F15" s="47"/>
    </row>
    <row r="16" spans="2:6" ht="14.25" customHeight="1">
      <c r="B16" s="42"/>
      <c r="C16" s="42"/>
      <c r="D16" s="42"/>
      <c r="E16" s="41"/>
      <c r="F16" s="47"/>
    </row>
    <row r="17" spans="2:8" ht="6" customHeight="1">
      <c r="B17" s="42"/>
      <c r="C17" s="42"/>
      <c r="D17" s="42"/>
      <c r="E17" s="41"/>
      <c r="F17" s="47"/>
    </row>
    <row r="18" spans="2:8" ht="16.5">
      <c r="B18" s="41" t="s">
        <v>738</v>
      </c>
      <c r="C18" s="42"/>
      <c r="D18" s="42"/>
      <c r="E18" s="41" t="s">
        <v>744</v>
      </c>
      <c r="F18" s="47"/>
    </row>
    <row r="19" spans="2:8" ht="6.75" customHeight="1">
      <c r="B19" s="41"/>
      <c r="C19" s="42"/>
      <c r="D19" s="42"/>
      <c r="E19" s="41"/>
      <c r="F19" s="47"/>
    </row>
    <row r="20" spans="2:8" ht="16.5">
      <c r="B20" s="41" t="s">
        <v>1243</v>
      </c>
      <c r="C20" s="42"/>
      <c r="D20" s="42"/>
      <c r="E20" s="41" t="s">
        <v>1239</v>
      </c>
      <c r="F20" s="47"/>
    </row>
    <row r="21" spans="2:8" ht="6.75" customHeight="1">
      <c r="B21" s="41"/>
      <c r="C21" s="42"/>
      <c r="D21" s="42"/>
      <c r="E21" s="41"/>
      <c r="F21" s="47"/>
    </row>
    <row r="22" spans="2:8" ht="16.5">
      <c r="B22" s="41" t="s">
        <v>741</v>
      </c>
      <c r="C22" s="42"/>
      <c r="D22" s="42"/>
      <c r="E22" s="41" t="s">
        <v>1236</v>
      </c>
      <c r="F22" s="50"/>
      <c r="G22" s="49"/>
      <c r="H22" s="47"/>
    </row>
    <row r="23" spans="2:8" ht="6.75" customHeight="1">
      <c r="F23" s="47"/>
      <c r="H23" s="47"/>
    </row>
    <row r="24" spans="2:8" ht="16.5">
      <c r="B24" s="41" t="s">
        <v>739</v>
      </c>
      <c r="C24" s="42"/>
      <c r="D24" s="42"/>
      <c r="E24" s="41" t="s">
        <v>1241</v>
      </c>
      <c r="F24" s="47"/>
    </row>
    <row r="25" spans="2:8" ht="7.5" customHeight="1">
      <c r="B25" s="41"/>
      <c r="C25" s="41"/>
      <c r="D25" s="41"/>
      <c r="E25" s="41"/>
      <c r="F25" s="47"/>
      <c r="H25" s="47"/>
    </row>
    <row r="26" spans="2:8" ht="16.5">
      <c r="B26" s="41" t="s">
        <v>742</v>
      </c>
      <c r="C26" s="41"/>
      <c r="D26" s="41"/>
      <c r="E26" s="41" t="s">
        <v>746</v>
      </c>
      <c r="F26" s="47"/>
      <c r="H26" s="47"/>
    </row>
    <row r="27" spans="2:8" ht="6.75" customHeight="1">
      <c r="B27" s="41"/>
      <c r="C27" s="41"/>
      <c r="D27" s="41"/>
      <c r="E27" s="41"/>
      <c r="F27" s="47"/>
      <c r="H27" s="47"/>
    </row>
    <row r="28" spans="2:8" ht="16.5">
      <c r="B28" s="41" t="s">
        <v>748</v>
      </c>
      <c r="C28" s="41"/>
      <c r="D28" s="41"/>
      <c r="E28" s="41" t="s">
        <v>749</v>
      </c>
      <c r="F28" s="47"/>
      <c r="H28" s="47"/>
    </row>
    <row r="29" spans="2:8" ht="6.75" customHeight="1">
      <c r="B29" s="41"/>
      <c r="C29" s="41"/>
      <c r="D29" s="41"/>
      <c r="E29" s="41"/>
      <c r="F29" s="47"/>
      <c r="H29" s="47"/>
    </row>
    <row r="30" spans="2:8" ht="16.5">
      <c r="B30" s="41" t="s">
        <v>745</v>
      </c>
      <c r="C30" s="41"/>
      <c r="D30" s="41"/>
      <c r="E30" s="41" t="s">
        <v>747</v>
      </c>
      <c r="F30" s="47"/>
      <c r="H30" s="47"/>
    </row>
    <row r="31" spans="2:8" ht="6.75" customHeight="1">
      <c r="B31" s="41"/>
      <c r="C31" s="41"/>
      <c r="D31" s="41"/>
      <c r="E31" s="41"/>
      <c r="F31" s="47"/>
      <c r="H31" s="47"/>
    </row>
    <row r="32" spans="2:8" ht="16.5">
      <c r="B32" s="41"/>
      <c r="C32" s="41"/>
      <c r="D32" s="41"/>
      <c r="E32" s="41"/>
      <c r="F32" s="47"/>
      <c r="H32" s="47"/>
    </row>
    <row r="33" spans="1:8" ht="6.75" customHeight="1">
      <c r="B33" s="41"/>
      <c r="C33" s="41"/>
      <c r="D33" s="41"/>
      <c r="E33" s="41"/>
      <c r="F33" s="47"/>
      <c r="H33" s="47"/>
    </row>
    <row r="34" spans="1:8" ht="16.5">
      <c r="B34" s="41" t="s">
        <v>740</v>
      </c>
      <c r="C34" s="42"/>
      <c r="D34" s="42"/>
      <c r="E34" s="41" t="s">
        <v>751</v>
      </c>
      <c r="F34" s="47"/>
    </row>
    <row r="35" spans="1:8" ht="6" customHeight="1">
      <c r="B35" s="41"/>
      <c r="C35" s="42"/>
      <c r="D35" s="42"/>
      <c r="E35" s="41"/>
      <c r="F35" s="47"/>
      <c r="H35" s="47"/>
    </row>
    <row r="36" spans="1:8" ht="16.5">
      <c r="A36" s="409"/>
      <c r="B36" s="41" t="s">
        <v>750</v>
      </c>
      <c r="C36" s="42"/>
      <c r="D36" s="42"/>
      <c r="E36" s="41" t="s">
        <v>751</v>
      </c>
      <c r="F36" s="50"/>
      <c r="G36" s="48"/>
      <c r="H36" s="48"/>
    </row>
    <row r="37" spans="1:8" ht="6" customHeight="1">
      <c r="B37" s="41"/>
      <c r="C37" s="42"/>
      <c r="D37" s="42"/>
      <c r="E37" s="41"/>
      <c r="F37" s="47"/>
      <c r="H37" s="47"/>
    </row>
    <row r="38" spans="1:8" ht="16.5">
      <c r="A38" s="409"/>
      <c r="B38" s="41" t="s">
        <v>752</v>
      </c>
      <c r="C38" s="42"/>
      <c r="D38" s="42"/>
      <c r="E38" s="41" t="s">
        <v>753</v>
      </c>
      <c r="F38" s="50"/>
      <c r="G38" s="48"/>
      <c r="H38" s="48"/>
    </row>
    <row r="39" spans="1:8" ht="6" customHeight="1">
      <c r="B39" s="41"/>
      <c r="C39" s="42"/>
      <c r="D39" s="42"/>
      <c r="E39" s="41"/>
      <c r="F39" s="47"/>
      <c r="H39" s="47"/>
    </row>
    <row r="40" spans="1:8" ht="16.5">
      <c r="B40" s="41" t="s">
        <v>754</v>
      </c>
      <c r="C40" s="42"/>
      <c r="D40" s="42"/>
      <c r="E40" s="41" t="s">
        <v>749</v>
      </c>
      <c r="F40" s="47"/>
    </row>
    <row r="41" spans="1:8" ht="6" customHeight="1">
      <c r="B41" s="41"/>
      <c r="C41" s="42"/>
      <c r="D41" s="42"/>
      <c r="E41" s="41"/>
      <c r="F41" s="47"/>
      <c r="H41" s="47"/>
    </row>
    <row r="42" spans="1:8" ht="16.5">
      <c r="B42" s="41" t="s">
        <v>755</v>
      </c>
      <c r="C42" s="42"/>
      <c r="D42" s="42"/>
      <c r="E42" s="41" t="s">
        <v>749</v>
      </c>
      <c r="F42" s="47"/>
    </row>
    <row r="43" spans="1:8" ht="16.5">
      <c r="B43" s="41"/>
      <c r="C43" s="42"/>
      <c r="D43" s="42"/>
      <c r="E43" s="41"/>
      <c r="F43" s="50"/>
      <c r="G43" s="49"/>
      <c r="H43" s="49"/>
    </row>
    <row r="44" spans="1:8" ht="6.75" customHeight="1">
      <c r="B44" s="41"/>
      <c r="C44" s="42"/>
      <c r="D44" s="42"/>
      <c r="E44" s="41"/>
      <c r="F44" s="50"/>
      <c r="G44" s="49"/>
      <c r="H44" s="49"/>
    </row>
    <row r="45" spans="1:8" ht="15">
      <c r="A45" s="42"/>
      <c r="F45" s="50"/>
      <c r="G45" s="49"/>
      <c r="H45" s="47"/>
    </row>
    <row r="46" spans="1:8" ht="15">
      <c r="A46" s="42"/>
      <c r="F46" s="50"/>
      <c r="G46" s="49"/>
      <c r="H46" s="47"/>
    </row>
    <row r="47" spans="1:8">
      <c r="F47" s="50"/>
      <c r="G47" s="49"/>
      <c r="H47" s="47"/>
    </row>
    <row r="48" spans="1:8">
      <c r="F48" s="47"/>
      <c r="G48" s="47"/>
      <c r="H48" s="47"/>
    </row>
    <row r="49" spans="1:15">
      <c r="F49" s="47"/>
      <c r="G49" s="47"/>
      <c r="H49" s="47"/>
    </row>
    <row r="50" spans="1:15">
      <c r="F50" s="47"/>
      <c r="H50" s="47"/>
    </row>
    <row r="51" spans="1:15">
      <c r="F51" s="47"/>
      <c r="H51" s="47"/>
    </row>
    <row r="52" spans="1:15">
      <c r="F52" s="47"/>
      <c r="H52" s="47"/>
      <c r="M52" s="46"/>
      <c r="N52" s="46"/>
      <c r="O52" s="46"/>
    </row>
    <row r="53" spans="1:15" ht="13.5" customHeight="1">
      <c r="F53" s="47"/>
      <c r="G53" s="47"/>
      <c r="H53" s="47"/>
    </row>
    <row r="54" spans="1:15" ht="15">
      <c r="A54" s="42"/>
      <c r="F54" s="47"/>
      <c r="G54" s="47"/>
      <c r="H54" s="47"/>
    </row>
    <row r="55" spans="1:15" ht="15">
      <c r="A55" s="43"/>
      <c r="F55" s="47"/>
      <c r="G55" s="47"/>
      <c r="H55" s="47"/>
    </row>
    <row r="56" spans="1:15">
      <c r="F56" s="47"/>
      <c r="G56" s="47"/>
      <c r="H56" s="47"/>
    </row>
    <row r="57" spans="1:15">
      <c r="F57" s="47"/>
      <c r="G57" s="47"/>
      <c r="H57" s="47"/>
    </row>
    <row r="58" spans="1:15" ht="15">
      <c r="A58" s="43"/>
      <c r="F58" s="47"/>
      <c r="G58" s="47"/>
      <c r="H58" s="47"/>
    </row>
    <row r="59" spans="1:15">
      <c r="F59" s="47"/>
      <c r="G59" s="47"/>
      <c r="H59" s="47"/>
    </row>
    <row r="60" spans="1:15">
      <c r="F60" s="47"/>
      <c r="G60" s="47"/>
      <c r="H60" s="47"/>
    </row>
    <row r="61" spans="1:15">
      <c r="F61" s="47"/>
      <c r="G61" s="47"/>
      <c r="H61" s="47"/>
    </row>
    <row r="62" spans="1:15">
      <c r="F62" s="47"/>
      <c r="G62" s="47"/>
      <c r="H62" s="47"/>
    </row>
    <row r="63" spans="1:15">
      <c r="F63" s="47"/>
      <c r="G63" s="47"/>
      <c r="H63" s="47"/>
    </row>
    <row r="64" spans="1:15">
      <c r="F64" s="47"/>
      <c r="G64" s="47"/>
      <c r="H64" s="47"/>
    </row>
    <row r="65" spans="1:8" ht="13.5" customHeight="1">
      <c r="A65" s="42"/>
      <c r="F65" s="47"/>
      <c r="G65" s="47"/>
      <c r="H65" s="47"/>
    </row>
    <row r="66" spans="1:8" ht="15">
      <c r="A66" s="42"/>
      <c r="F66" s="47"/>
      <c r="G66" s="47"/>
      <c r="H66" s="47"/>
    </row>
    <row r="67" spans="1:8" ht="15">
      <c r="A67" s="42"/>
      <c r="F67" s="47"/>
      <c r="G67" s="47"/>
      <c r="H67" s="47"/>
    </row>
    <row r="68" spans="1:8" ht="15">
      <c r="A68" s="43"/>
      <c r="F68" s="47"/>
      <c r="G68" s="47"/>
      <c r="H68" s="47"/>
    </row>
    <row r="69" spans="1:8">
      <c r="F69" s="47"/>
      <c r="G69" s="47"/>
      <c r="H69" s="47"/>
    </row>
    <row r="70" spans="1:8">
      <c r="F70" s="47"/>
      <c r="G70" s="47"/>
      <c r="H70" s="47"/>
    </row>
    <row r="71" spans="1:8">
      <c r="F71" s="47"/>
      <c r="G71" s="47"/>
      <c r="H71" s="47"/>
    </row>
    <row r="72" spans="1:8">
      <c r="F72" s="47"/>
      <c r="G72" s="47"/>
      <c r="H72" s="47"/>
    </row>
    <row r="73" spans="1:8">
      <c r="F73" s="47"/>
      <c r="G73" s="47"/>
      <c r="H73" s="47"/>
    </row>
    <row r="74" spans="1:8">
      <c r="F74" s="46"/>
    </row>
    <row r="75" spans="1:8">
      <c r="F75" s="47"/>
    </row>
    <row r="76" spans="1:8">
      <c r="F76" s="47"/>
    </row>
    <row r="77" spans="1:8">
      <c r="F77" s="47"/>
    </row>
    <row r="78" spans="1:8">
      <c r="F78" s="47"/>
    </row>
    <row r="79" spans="1:8">
      <c r="F79" s="47"/>
    </row>
    <row r="80" spans="1:8">
      <c r="F80" s="47"/>
    </row>
    <row r="81" spans="1:8">
      <c r="F81" s="46"/>
    </row>
    <row r="82" spans="1:8">
      <c r="F82" s="46"/>
    </row>
    <row r="83" spans="1:8">
      <c r="F83" s="46"/>
    </row>
    <row r="84" spans="1:8">
      <c r="F84" s="46"/>
    </row>
    <row r="85" spans="1:8" ht="15">
      <c r="A85" s="43"/>
      <c r="F85" s="46"/>
    </row>
    <row r="86" spans="1:8" ht="15">
      <c r="A86" s="42"/>
      <c r="F86" s="50"/>
      <c r="G86" s="48"/>
      <c r="H86" s="48"/>
    </row>
    <row r="87" spans="1:8" ht="15">
      <c r="A87" s="43"/>
      <c r="F87" s="47"/>
      <c r="G87" s="47"/>
      <c r="H87" s="47"/>
    </row>
    <row r="88" spans="1:8">
      <c r="F88" s="47"/>
      <c r="G88" s="47"/>
      <c r="H88" s="47"/>
    </row>
    <row r="89" spans="1:8">
      <c r="F89" s="47"/>
      <c r="G89" s="47"/>
      <c r="H89" s="47"/>
    </row>
    <row r="90" spans="1:8">
      <c r="F90" s="47"/>
      <c r="G90" s="47"/>
      <c r="H90" s="47"/>
    </row>
    <row r="91" spans="1:8">
      <c r="F91" s="47"/>
    </row>
    <row r="92" spans="1:8" ht="15">
      <c r="F92" s="410"/>
      <c r="G92" s="411"/>
      <c r="H92" s="411"/>
    </row>
    <row r="93" spans="1:8" ht="15">
      <c r="F93" s="51"/>
      <c r="G93" s="48"/>
      <c r="H93" s="48"/>
    </row>
    <row r="94" spans="1:8">
      <c r="F94" s="46"/>
    </row>
    <row r="95" spans="1:8">
      <c r="F95" s="46"/>
      <c r="G95" s="52"/>
      <c r="H95" s="53"/>
    </row>
    <row r="96" spans="1:8" ht="15">
      <c r="A96" s="43"/>
      <c r="F96" s="46"/>
      <c r="G96" s="46"/>
      <c r="H96" s="44"/>
    </row>
    <row r="97" spans="1:8">
      <c r="F97" s="46"/>
      <c r="G97" s="46"/>
      <c r="H97" s="44"/>
    </row>
    <row r="98" spans="1:8">
      <c r="F98" s="46"/>
      <c r="G98" s="46"/>
      <c r="H98" s="44"/>
    </row>
    <row r="99" spans="1:8">
      <c r="F99" s="46"/>
      <c r="G99" s="46"/>
      <c r="H99" s="44"/>
    </row>
    <row r="100" spans="1:8" ht="15">
      <c r="A100" s="43"/>
      <c r="F100" s="46"/>
      <c r="G100" s="46"/>
      <c r="H100" s="44"/>
    </row>
    <row r="101" spans="1:8">
      <c r="F101" s="46"/>
      <c r="G101" s="46"/>
      <c r="H101" s="44"/>
    </row>
    <row r="102" spans="1:8">
      <c r="F102" s="46"/>
      <c r="G102" s="46"/>
      <c r="H102" s="44"/>
    </row>
    <row r="103" spans="1:8">
      <c r="F103" s="54"/>
      <c r="G103" s="54"/>
      <c r="H103" s="45"/>
    </row>
    <row r="104" spans="1:8" ht="15">
      <c r="A104" s="43"/>
      <c r="F104" s="46"/>
      <c r="G104" s="46"/>
      <c r="H104" s="44"/>
    </row>
    <row r="105" spans="1:8">
      <c r="F105" s="46"/>
      <c r="G105" s="46"/>
      <c r="H105" s="44"/>
    </row>
    <row r="106" spans="1:8">
      <c r="F106" s="46"/>
      <c r="G106" s="46"/>
      <c r="H106" s="44"/>
    </row>
    <row r="107" spans="1:8">
      <c r="F107" s="46"/>
      <c r="G107" s="46"/>
      <c r="H107" s="44"/>
    </row>
    <row r="108" spans="1:8" ht="15">
      <c r="A108" s="43"/>
      <c r="F108" s="46"/>
      <c r="G108" s="46"/>
      <c r="H108" s="44"/>
    </row>
    <row r="109" spans="1:8">
      <c r="F109" s="46"/>
      <c r="G109" s="46"/>
      <c r="H109" s="44"/>
    </row>
    <row r="110" spans="1:8">
      <c r="F110" s="46"/>
      <c r="G110" s="46"/>
      <c r="H110" s="44"/>
    </row>
    <row r="111" spans="1:8">
      <c r="F111" s="46"/>
      <c r="G111" s="46"/>
      <c r="H111" s="44"/>
    </row>
    <row r="112" spans="1:8">
      <c r="F112" s="46"/>
      <c r="G112" s="46"/>
      <c r="H112" s="44"/>
    </row>
    <row r="113" spans="1:8" ht="15">
      <c r="A113" s="43"/>
      <c r="F113" s="54"/>
      <c r="G113" s="54"/>
      <c r="H113" s="45"/>
    </row>
    <row r="114" spans="1:8">
      <c r="F114" s="46"/>
      <c r="G114" s="46"/>
      <c r="H114" s="44"/>
    </row>
    <row r="115" spans="1:8">
      <c r="F115" s="46"/>
      <c r="G115" s="46"/>
      <c r="H115" s="44"/>
    </row>
    <row r="116" spans="1:8">
      <c r="F116" s="46"/>
      <c r="G116" s="46"/>
      <c r="H116" s="44"/>
    </row>
    <row r="117" spans="1:8" ht="15">
      <c r="A117" s="43"/>
      <c r="F117" s="46"/>
      <c r="G117" s="46"/>
      <c r="H117" s="44"/>
    </row>
    <row r="118" spans="1:8">
      <c r="F118" s="54"/>
      <c r="G118" s="54"/>
      <c r="H118" s="45"/>
    </row>
    <row r="119" spans="1:8">
      <c r="F119" s="54"/>
      <c r="G119" s="54"/>
      <c r="H119" s="45"/>
    </row>
    <row r="120" spans="1:8">
      <c r="F120" s="46"/>
      <c r="G120" s="46"/>
      <c r="H120" s="44"/>
    </row>
    <row r="121" spans="1:8" ht="15">
      <c r="A121" s="43"/>
      <c r="F121" s="46"/>
      <c r="G121" s="46"/>
      <c r="H121" s="44"/>
    </row>
    <row r="122" spans="1:8">
      <c r="F122" s="54"/>
      <c r="G122" s="54"/>
      <c r="H122" s="45"/>
    </row>
    <row r="123" spans="1:8">
      <c r="F123" s="46"/>
      <c r="G123" s="46"/>
      <c r="H123" s="44"/>
    </row>
    <row r="124" spans="1:8">
      <c r="F124" s="54"/>
      <c r="G124" s="55"/>
      <c r="H124" s="56"/>
    </row>
    <row r="125" spans="1:8">
      <c r="F125" s="46"/>
    </row>
    <row r="126" spans="1:8">
      <c r="F126" s="46"/>
    </row>
    <row r="127" spans="1:8">
      <c r="F127" s="46"/>
    </row>
    <row r="128" spans="1:8">
      <c r="F128" s="46"/>
    </row>
    <row r="129" spans="6:7">
      <c r="F129" s="46"/>
      <c r="G129" s="46"/>
    </row>
    <row r="130" spans="6:7">
      <c r="F130" s="46"/>
      <c r="G130" s="46"/>
    </row>
    <row r="131" spans="6:7">
      <c r="F131" s="46"/>
      <c r="G131" s="46"/>
    </row>
    <row r="132" spans="6:7">
      <c r="F132" s="46"/>
      <c r="G132" s="46"/>
    </row>
    <row r="133" spans="6:7">
      <c r="F133" s="46"/>
      <c r="G133" s="46"/>
    </row>
    <row r="134" spans="6:7">
      <c r="F134" s="46"/>
      <c r="G134" s="46"/>
    </row>
    <row r="135" spans="6:7">
      <c r="F135" s="46"/>
      <c r="G135" s="46"/>
    </row>
    <row r="136" spans="6:7">
      <c r="F136" s="46"/>
      <c r="G136" s="46"/>
    </row>
    <row r="137" spans="6:7">
      <c r="F137" s="46"/>
      <c r="G137" s="46"/>
    </row>
    <row r="138" spans="6:7">
      <c r="F138" s="46"/>
      <c r="G138" s="46"/>
    </row>
    <row r="139" spans="6:7">
      <c r="F139" s="46"/>
      <c r="G139" s="46"/>
    </row>
    <row r="140" spans="6:7">
      <c r="F140" s="46"/>
      <c r="G140" s="46"/>
    </row>
    <row r="141" spans="6:7">
      <c r="F141" s="46"/>
      <c r="G141" s="46"/>
    </row>
    <row r="142" spans="6:7">
      <c r="F142" s="46"/>
      <c r="G142" s="46"/>
    </row>
    <row r="143" spans="6:7">
      <c r="F143" s="46"/>
      <c r="G143" s="46"/>
    </row>
    <row r="144" spans="6:7">
      <c r="F144" s="46"/>
      <c r="G144" s="46"/>
    </row>
    <row r="145" spans="6:7">
      <c r="F145" s="46"/>
      <c r="G145" s="46"/>
    </row>
    <row r="146" spans="6:7">
      <c r="F146" s="46"/>
      <c r="G146" s="46"/>
    </row>
    <row r="147" spans="6:7">
      <c r="F147" s="46"/>
      <c r="G147" s="46"/>
    </row>
    <row r="148" spans="6:7">
      <c r="F148" s="46"/>
      <c r="G148" s="46"/>
    </row>
    <row r="149" spans="6:7">
      <c r="F149" s="46"/>
      <c r="G149" s="46"/>
    </row>
    <row r="150" spans="6:7">
      <c r="F150" s="46"/>
      <c r="G150" s="46"/>
    </row>
    <row r="151" spans="6:7">
      <c r="F151" s="46"/>
      <c r="G151" s="46"/>
    </row>
    <row r="152" spans="6:7">
      <c r="F152" s="46"/>
      <c r="G152" s="46"/>
    </row>
    <row r="153" spans="6:7">
      <c r="F153" s="46"/>
      <c r="G153" s="46"/>
    </row>
    <row r="154" spans="6:7">
      <c r="F154" s="46"/>
      <c r="G154" s="46"/>
    </row>
    <row r="155" spans="6:7">
      <c r="F155" s="46"/>
      <c r="G155" s="46"/>
    </row>
    <row r="156" spans="6:7">
      <c r="F156" s="46"/>
      <c r="G156" s="46"/>
    </row>
    <row r="157" spans="6:7">
      <c r="F157" s="46"/>
      <c r="G157" s="46"/>
    </row>
    <row r="158" spans="6:7">
      <c r="F158" s="46"/>
      <c r="G158" s="46"/>
    </row>
    <row r="159" spans="6:7">
      <c r="F159" s="46"/>
      <c r="G159" s="46"/>
    </row>
    <row r="160" spans="6:7">
      <c r="F160" s="46"/>
      <c r="G160" s="46"/>
    </row>
    <row r="161" spans="6:7">
      <c r="F161" s="46"/>
      <c r="G161" s="46"/>
    </row>
    <row r="162" spans="6:7">
      <c r="F162" s="46"/>
      <c r="G162" s="46"/>
    </row>
    <row r="163" spans="6:7">
      <c r="F163" s="46"/>
      <c r="G163" s="46"/>
    </row>
    <row r="164" spans="6:7">
      <c r="F164" s="46"/>
      <c r="G164" s="46"/>
    </row>
    <row r="165" spans="6:7">
      <c r="F165" s="46"/>
      <c r="G165" s="46"/>
    </row>
    <row r="166" spans="6:7">
      <c r="F166" s="46"/>
      <c r="G166" s="46"/>
    </row>
    <row r="167" spans="6:7">
      <c r="F167" s="46"/>
      <c r="G167" s="46"/>
    </row>
    <row r="168" spans="6:7">
      <c r="F168" s="46"/>
      <c r="G168" s="46"/>
    </row>
    <row r="169" spans="6:7">
      <c r="F169" s="46"/>
      <c r="G169" s="46"/>
    </row>
    <row r="170" spans="6:7">
      <c r="F170" s="46"/>
      <c r="G170" s="46"/>
    </row>
    <row r="171" spans="6:7">
      <c r="F171" s="46"/>
      <c r="G171" s="46"/>
    </row>
    <row r="172" spans="6:7">
      <c r="F172" s="46"/>
      <c r="G172" s="46"/>
    </row>
    <row r="173" spans="6:7">
      <c r="F173" s="46"/>
      <c r="G173" s="46"/>
    </row>
    <row r="174" spans="6:7">
      <c r="F174" s="46"/>
      <c r="G174" s="46"/>
    </row>
    <row r="175" spans="6:7">
      <c r="F175" s="46"/>
      <c r="G175" s="46"/>
    </row>
    <row r="176" spans="6:7">
      <c r="F176" s="46"/>
      <c r="G176" s="46"/>
    </row>
    <row r="177" spans="6:7">
      <c r="F177" s="46"/>
      <c r="G177" s="46"/>
    </row>
    <row r="178" spans="6:7">
      <c r="F178" s="46"/>
      <c r="G178" s="46"/>
    </row>
    <row r="179" spans="6:7">
      <c r="F179" s="46"/>
      <c r="G179" s="46"/>
    </row>
    <row r="180" spans="6:7">
      <c r="F180" s="46"/>
      <c r="G180" s="46"/>
    </row>
    <row r="181" spans="6:7">
      <c r="F181" s="46"/>
      <c r="G181" s="46"/>
    </row>
    <row r="182" spans="6:7">
      <c r="F182" s="46"/>
      <c r="G182" s="46"/>
    </row>
    <row r="183" spans="6:7">
      <c r="F183" s="46"/>
      <c r="G183" s="46"/>
    </row>
    <row r="184" spans="6:7">
      <c r="F184" s="46"/>
      <c r="G184" s="46"/>
    </row>
    <row r="185" spans="6:7">
      <c r="F185" s="46"/>
      <c r="G185" s="46"/>
    </row>
    <row r="186" spans="6:7">
      <c r="F186" s="46"/>
      <c r="G186" s="46"/>
    </row>
    <row r="187" spans="6:7">
      <c r="F187" s="46"/>
      <c r="G187" s="46"/>
    </row>
    <row r="188" spans="6:7">
      <c r="F188" s="46"/>
      <c r="G188" s="46"/>
    </row>
    <row r="189" spans="6:7">
      <c r="F189" s="46"/>
      <c r="G189" s="46"/>
    </row>
    <row r="190" spans="6:7">
      <c r="F190" s="46"/>
      <c r="G190" s="46"/>
    </row>
    <row r="191" spans="6:7">
      <c r="F191" s="46"/>
      <c r="G191" s="46"/>
    </row>
    <row r="192" spans="6:7">
      <c r="F192" s="46"/>
      <c r="G192" s="46"/>
    </row>
    <row r="193" spans="6:7">
      <c r="F193" s="46"/>
      <c r="G193" s="46"/>
    </row>
    <row r="194" spans="6:7">
      <c r="F194" s="46"/>
      <c r="G194" s="46"/>
    </row>
    <row r="195" spans="6:7">
      <c r="F195" s="46"/>
      <c r="G195" s="46"/>
    </row>
    <row r="196" spans="6:7">
      <c r="F196" s="46"/>
      <c r="G196" s="46"/>
    </row>
    <row r="197" spans="6:7">
      <c r="F197" s="46"/>
      <c r="G197" s="46"/>
    </row>
    <row r="198" spans="6:7">
      <c r="F198" s="46"/>
      <c r="G198" s="46"/>
    </row>
    <row r="199" spans="6:7">
      <c r="F199" s="46"/>
      <c r="G199" s="46"/>
    </row>
    <row r="200" spans="6:7">
      <c r="F200" s="46"/>
      <c r="G200" s="46"/>
    </row>
    <row r="201" spans="6:7">
      <c r="F201" s="46"/>
      <c r="G201" s="46"/>
    </row>
    <row r="202" spans="6:7">
      <c r="F202" s="46"/>
      <c r="G202" s="46"/>
    </row>
    <row r="203" spans="6:7">
      <c r="F203" s="46"/>
      <c r="G203" s="46"/>
    </row>
    <row r="204" spans="6:7">
      <c r="G204" s="46"/>
    </row>
    <row r="205" spans="6:7">
      <c r="G205" s="46"/>
    </row>
    <row r="206" spans="6:7">
      <c r="G206" s="46"/>
    </row>
    <row r="207" spans="6:7">
      <c r="G207" s="46"/>
    </row>
    <row r="208" spans="6:7">
      <c r="G208" s="46"/>
    </row>
    <row r="209" spans="7:7">
      <c r="G209" s="46"/>
    </row>
    <row r="210" spans="7:7">
      <c r="G210" s="46"/>
    </row>
    <row r="211" spans="7:7">
      <c r="G211" s="46"/>
    </row>
    <row r="212" spans="7:7">
      <c r="G212" s="46"/>
    </row>
    <row r="213" spans="7:7">
      <c r="G213" s="46"/>
    </row>
    <row r="214" spans="7:7">
      <c r="G214" s="46"/>
    </row>
    <row r="215" spans="7:7">
      <c r="G215" s="46"/>
    </row>
    <row r="216" spans="7:7">
      <c r="G216" s="46"/>
    </row>
    <row r="217" spans="7:7">
      <c r="G217" s="46"/>
    </row>
    <row r="218" spans="7:7">
      <c r="G218" s="46"/>
    </row>
    <row r="219" spans="7:7">
      <c r="G219" s="46"/>
    </row>
    <row r="220" spans="7:7">
      <c r="G220" s="46"/>
    </row>
    <row r="221" spans="7:7">
      <c r="G221" s="46"/>
    </row>
    <row r="222" spans="7:7">
      <c r="G222" s="46"/>
    </row>
    <row r="223" spans="7:7">
      <c r="G223" s="46"/>
    </row>
    <row r="224" spans="7:7">
      <c r="G224" s="46"/>
    </row>
    <row r="225" spans="7:7">
      <c r="G225" s="46"/>
    </row>
    <row r="226" spans="7:7">
      <c r="G226" s="46"/>
    </row>
    <row r="227" spans="7:7">
      <c r="G227" s="46"/>
    </row>
    <row r="228" spans="7:7">
      <c r="G228" s="46"/>
    </row>
    <row r="229" spans="7:7">
      <c r="G229" s="46"/>
    </row>
    <row r="230" spans="7:7">
      <c r="G230" s="46"/>
    </row>
    <row r="231" spans="7:7">
      <c r="G231" s="46"/>
    </row>
    <row r="232" spans="7:7">
      <c r="G232" s="46"/>
    </row>
    <row r="233" spans="7:7">
      <c r="G233" s="46"/>
    </row>
    <row r="234" spans="7:7">
      <c r="G234" s="46"/>
    </row>
    <row r="235" spans="7:7">
      <c r="G235" s="46"/>
    </row>
    <row r="236" spans="7:7">
      <c r="G236" s="46"/>
    </row>
    <row r="237" spans="7:7">
      <c r="G237" s="46"/>
    </row>
    <row r="238" spans="7:7">
      <c r="G238" s="46"/>
    </row>
    <row r="239" spans="7:7">
      <c r="G239" s="46"/>
    </row>
    <row r="240" spans="7:7">
      <c r="G240" s="46"/>
    </row>
    <row r="241" spans="7:7">
      <c r="G241" s="46"/>
    </row>
    <row r="242" spans="7:7">
      <c r="G242" s="46"/>
    </row>
    <row r="243" spans="7:7">
      <c r="G243" s="46"/>
    </row>
    <row r="244" spans="7:7">
      <c r="G244" s="46"/>
    </row>
    <row r="245" spans="7:7">
      <c r="G245" s="46"/>
    </row>
    <row r="246" spans="7:7">
      <c r="G246" s="46"/>
    </row>
    <row r="247" spans="7:7">
      <c r="G247" s="46"/>
    </row>
    <row r="248" spans="7:7">
      <c r="G248" s="46"/>
    </row>
    <row r="249" spans="7:7">
      <c r="G249" s="46"/>
    </row>
    <row r="250" spans="7:7">
      <c r="G250" s="46"/>
    </row>
    <row r="251" spans="7:7">
      <c r="G251" s="46"/>
    </row>
    <row r="252" spans="7:7">
      <c r="G252" s="46"/>
    </row>
    <row r="253" spans="7:7">
      <c r="G253" s="46"/>
    </row>
    <row r="254" spans="7:7">
      <c r="G254" s="46"/>
    </row>
    <row r="255" spans="7:7">
      <c r="G255" s="46"/>
    </row>
    <row r="256" spans="7:7">
      <c r="G256" s="46"/>
    </row>
    <row r="257" spans="7:7">
      <c r="G257" s="46"/>
    </row>
    <row r="258" spans="7:7">
      <c r="G258" s="46"/>
    </row>
    <row r="259" spans="7:7">
      <c r="G259" s="46"/>
    </row>
    <row r="260" spans="7:7">
      <c r="G260" s="46"/>
    </row>
    <row r="261" spans="7:7">
      <c r="G261" s="46"/>
    </row>
    <row r="262" spans="7:7">
      <c r="G262" s="46"/>
    </row>
    <row r="263" spans="7:7">
      <c r="G263" s="46"/>
    </row>
    <row r="264" spans="7:7">
      <c r="G264" s="46"/>
    </row>
    <row r="265" spans="7:7">
      <c r="G265" s="46"/>
    </row>
    <row r="266" spans="7:7">
      <c r="G266" s="46"/>
    </row>
    <row r="267" spans="7:7">
      <c r="G267" s="46"/>
    </row>
    <row r="268" spans="7:7">
      <c r="G268" s="46"/>
    </row>
    <row r="269" spans="7:7">
      <c r="G269" s="46"/>
    </row>
    <row r="270" spans="7:7">
      <c r="G270" s="46"/>
    </row>
    <row r="271" spans="7:7">
      <c r="G271" s="46"/>
    </row>
    <row r="272" spans="7:7">
      <c r="G272" s="46"/>
    </row>
    <row r="273" spans="7:7">
      <c r="G273" s="46"/>
    </row>
    <row r="274" spans="7:7">
      <c r="G274" s="46"/>
    </row>
    <row r="275" spans="7:7">
      <c r="G275" s="46"/>
    </row>
    <row r="276" spans="7:7">
      <c r="G276" s="46"/>
    </row>
    <row r="277" spans="7:7">
      <c r="G277" s="46"/>
    </row>
    <row r="278" spans="7:7">
      <c r="G278" s="46"/>
    </row>
    <row r="279" spans="7:7">
      <c r="G279" s="46"/>
    </row>
    <row r="280" spans="7:7">
      <c r="G280" s="46"/>
    </row>
    <row r="281" spans="7:7">
      <c r="G281" s="46"/>
    </row>
    <row r="282" spans="7:7">
      <c r="G282" s="46"/>
    </row>
    <row r="283" spans="7:7">
      <c r="G283" s="46"/>
    </row>
    <row r="284" spans="7:7">
      <c r="G284" s="46"/>
    </row>
    <row r="285" spans="7:7">
      <c r="G285" s="46"/>
    </row>
    <row r="286" spans="7:7">
      <c r="G286" s="46"/>
    </row>
  </sheetData>
  <phoneticPr fontId="7" type="noConversion"/>
  <printOptions horizontalCentered="1"/>
  <pageMargins left="0.75" right="0.85" top="1.48" bottom="0.93" header="0.5" footer="0.5"/>
  <pageSetup firstPageNumber="3" orientation="portrait" useFirstPageNumber="1" r:id="rId1"/>
  <headerFooter alignWithMargins="0">
    <oddHeader>&amp;C&amp;"Book Antiqua,Bold"&amp;14City Officials</oddHeader>
  </headerFooter>
  <rowBreaks count="1" manualBreakCount="1">
    <brk id="5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H600"/>
  <sheetViews>
    <sheetView tabSelected="1" view="pageBreakPreview" topLeftCell="A375" zoomScaleNormal="110" zoomScaleSheetLayoutView="100" workbookViewId="0">
      <selection activeCell="AA574" sqref="AA574"/>
    </sheetView>
  </sheetViews>
  <sheetFormatPr defaultColWidth="8.85546875" defaultRowHeight="15"/>
  <cols>
    <col min="1" max="1" width="15.5703125" style="160" customWidth="1"/>
    <col min="2" max="2" width="51" style="160" bestFit="1" customWidth="1"/>
    <col min="3" max="3" width="2.140625" style="162" customWidth="1"/>
    <col min="4" max="4" width="2" style="162" hidden="1" customWidth="1"/>
    <col min="5" max="5" width="19.5703125" style="164" hidden="1" customWidth="1"/>
    <col min="6" max="6" width="2" style="162" hidden="1" customWidth="1"/>
    <col min="7" max="7" width="19.5703125" style="164" hidden="1" customWidth="1"/>
    <col min="8" max="8" width="2" style="162" hidden="1" customWidth="1"/>
    <col min="9" max="9" width="19.5703125" style="164" hidden="1" customWidth="1"/>
    <col min="10" max="10" width="2" style="162" hidden="1" customWidth="1"/>
    <col min="11" max="11" width="19.5703125" style="164" hidden="1" customWidth="1"/>
    <col min="12" max="12" width="2" style="162" hidden="1" customWidth="1"/>
    <col min="13" max="15" width="19.5703125" style="164" hidden="1" customWidth="1"/>
    <col min="16" max="16" width="19.5703125" style="164" customWidth="1"/>
    <col min="17" max="17" width="17.7109375" style="165" customWidth="1"/>
    <col min="18" max="18" width="16.5703125" style="164" hidden="1" customWidth="1"/>
    <col min="19" max="19" width="17.140625" style="165" customWidth="1"/>
    <col min="20" max="20" width="2" style="162" hidden="1" customWidth="1"/>
    <col min="21" max="21" width="16.85546875" style="165" customWidth="1"/>
    <col min="22" max="22" width="14.85546875" style="181" hidden="1" customWidth="1"/>
    <col min="23" max="23" width="23" style="160" hidden="1" customWidth="1"/>
    <col min="24" max="24" width="9.85546875" style="160" hidden="1" customWidth="1"/>
    <col min="25" max="25" width="9.7109375" style="160" customWidth="1"/>
    <col min="26" max="26" width="11" style="160" bestFit="1" customWidth="1"/>
    <col min="27" max="47" width="8.85546875" style="160" customWidth="1"/>
    <col min="48" max="48" width="11.28515625" style="160" bestFit="1" customWidth="1"/>
    <col min="49" max="16384" width="8.85546875" style="160"/>
  </cols>
  <sheetData>
    <row r="1" spans="1:28" ht="18">
      <c r="A1" s="421" t="s">
        <v>48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157"/>
      <c r="X1" s="157"/>
      <c r="Y1" s="157"/>
      <c r="Z1" s="158"/>
      <c r="AA1" s="158"/>
      <c r="AB1" s="159"/>
    </row>
    <row r="2" spans="1:28" ht="18.75">
      <c r="A2" s="421" t="s">
        <v>1329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157"/>
      <c r="X2" s="157"/>
      <c r="Y2" s="157"/>
      <c r="Z2" s="158"/>
      <c r="AA2" s="158"/>
      <c r="AB2" s="159"/>
    </row>
    <row r="3" spans="1:28" ht="18">
      <c r="A3" s="421" t="s">
        <v>1513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157"/>
      <c r="X3" s="157"/>
      <c r="Y3" s="157"/>
      <c r="Z3" s="158"/>
      <c r="AA3" s="158"/>
      <c r="AB3" s="159"/>
    </row>
    <row r="4" spans="1:28" ht="16.5" thickBot="1">
      <c r="A4" s="161"/>
      <c r="B4" s="161"/>
      <c r="D4" s="163"/>
      <c r="F4" s="163"/>
      <c r="H4" s="163"/>
      <c r="J4" s="163"/>
      <c r="L4" s="163"/>
      <c r="R4" s="166"/>
      <c r="S4" s="167"/>
      <c r="T4" s="163"/>
      <c r="U4" s="168"/>
      <c r="V4" s="169"/>
      <c r="W4" s="170"/>
      <c r="X4" s="170"/>
      <c r="Y4" s="170"/>
      <c r="Z4" s="171"/>
      <c r="AA4" s="172"/>
      <c r="AB4" s="173"/>
    </row>
    <row r="5" spans="1:28" ht="16.5" thickBot="1">
      <c r="A5" s="161"/>
      <c r="B5" s="161"/>
      <c r="C5" s="174"/>
      <c r="D5" s="179"/>
      <c r="E5" s="175" t="s">
        <v>618</v>
      </c>
      <c r="F5" s="179"/>
      <c r="G5" s="175" t="s">
        <v>619</v>
      </c>
      <c r="H5" s="179"/>
      <c r="I5" s="175" t="s">
        <v>705</v>
      </c>
      <c r="J5" s="179"/>
      <c r="K5" s="175" t="s">
        <v>766</v>
      </c>
      <c r="L5" s="179"/>
      <c r="M5" s="175" t="s">
        <v>880</v>
      </c>
      <c r="N5" s="175" t="s">
        <v>938</v>
      </c>
      <c r="O5" s="175" t="s">
        <v>991</v>
      </c>
      <c r="P5" s="358" t="s">
        <v>1385</v>
      </c>
      <c r="Q5" s="359" t="s">
        <v>1415</v>
      </c>
      <c r="R5" s="358"/>
      <c r="S5" s="359"/>
      <c r="T5" s="360"/>
      <c r="U5" s="359" t="s">
        <v>1515</v>
      </c>
      <c r="V5" s="361"/>
      <c r="W5" s="362" t="s">
        <v>773</v>
      </c>
      <c r="X5" s="161"/>
      <c r="Y5" s="161"/>
      <c r="Z5" s="171"/>
    </row>
    <row r="6" spans="1:28" ht="61.5" thickBot="1">
      <c r="A6" s="161"/>
      <c r="B6" s="161"/>
      <c r="C6" s="250"/>
      <c r="D6" s="179"/>
      <c r="E6" s="258" t="s">
        <v>354</v>
      </c>
      <c r="F6" s="179"/>
      <c r="G6" s="258" t="s">
        <v>354</v>
      </c>
      <c r="H6" s="179"/>
      <c r="I6" s="258" t="s">
        <v>354</v>
      </c>
      <c r="J6" s="179"/>
      <c r="K6" s="258" t="s">
        <v>354</v>
      </c>
      <c r="L6" s="179"/>
      <c r="M6" s="258" t="s">
        <v>354</v>
      </c>
      <c r="N6" s="258" t="s">
        <v>354</v>
      </c>
      <c r="O6" s="251" t="s">
        <v>354</v>
      </c>
      <c r="P6" s="363" t="s">
        <v>354</v>
      </c>
      <c r="Q6" s="364" t="s">
        <v>1246</v>
      </c>
      <c r="R6" s="365" t="s">
        <v>1149</v>
      </c>
      <c r="S6" s="366" t="s">
        <v>722</v>
      </c>
      <c r="T6" s="360"/>
      <c r="U6" s="367" t="s">
        <v>1242</v>
      </c>
      <c r="V6" s="368" t="s">
        <v>694</v>
      </c>
      <c r="W6" s="369" t="s">
        <v>873</v>
      </c>
      <c r="X6" s="161"/>
      <c r="Y6" s="161"/>
      <c r="Z6" s="171"/>
    </row>
    <row r="7" spans="1:28" ht="21" thickBot="1">
      <c r="A7" s="422" t="s">
        <v>436</v>
      </c>
      <c r="B7" s="422"/>
      <c r="C7" s="250"/>
      <c r="D7" s="179"/>
      <c r="E7" s="258"/>
      <c r="F7" s="179"/>
      <c r="G7" s="258"/>
      <c r="H7" s="179"/>
      <c r="I7" s="258"/>
      <c r="J7" s="179"/>
      <c r="K7" s="258"/>
      <c r="L7" s="179"/>
      <c r="M7" s="258"/>
      <c r="N7" s="258"/>
      <c r="O7" s="251"/>
      <c r="P7" s="251"/>
      <c r="Q7" s="258"/>
      <c r="R7" s="370"/>
      <c r="S7" s="252"/>
      <c r="T7" s="179"/>
      <c r="U7" s="254"/>
      <c r="V7" s="369"/>
      <c r="W7" s="161"/>
      <c r="X7" s="161"/>
      <c r="Y7" s="161"/>
      <c r="Z7" s="171"/>
    </row>
    <row r="8" spans="1:28" ht="15.75">
      <c r="A8" s="161"/>
      <c r="B8" s="160" t="s">
        <v>356</v>
      </c>
      <c r="C8" s="161"/>
      <c r="D8" s="161"/>
      <c r="E8" s="253">
        <f>+E37</f>
        <v>724730.85</v>
      </c>
      <c r="F8" s="161"/>
      <c r="G8" s="253">
        <f>+G37</f>
        <v>764585.94000000006</v>
      </c>
      <c r="H8" s="178"/>
      <c r="I8" s="253">
        <f>+I37</f>
        <v>764512.77</v>
      </c>
      <c r="J8" s="178"/>
      <c r="K8" s="253">
        <f>+K37</f>
        <v>891816.94</v>
      </c>
      <c r="L8" s="178"/>
      <c r="M8" s="253">
        <f t="shared" ref="M8:S8" si="0">+M37</f>
        <v>886339.16</v>
      </c>
      <c r="N8" s="253">
        <f t="shared" si="0"/>
        <v>879339.64</v>
      </c>
      <c r="O8" s="179">
        <f t="shared" si="0"/>
        <v>1027641.7999999999</v>
      </c>
      <c r="P8" s="180">
        <f>+P37</f>
        <v>1277095.42</v>
      </c>
      <c r="Q8" s="180">
        <f>+Q37</f>
        <v>1423999</v>
      </c>
      <c r="R8" s="180">
        <f t="shared" si="0"/>
        <v>0</v>
      </c>
      <c r="S8" s="180">
        <f t="shared" si="0"/>
        <v>1368087.93</v>
      </c>
      <c r="T8" s="180">
        <f>+T37</f>
        <v>0</v>
      </c>
      <c r="U8" s="180">
        <f>U37</f>
        <v>1811000</v>
      </c>
      <c r="V8" s="181">
        <f t="shared" ref="V8:V15" si="1">(U8-Q8)/Q8</f>
        <v>0.27177055601864891</v>
      </c>
      <c r="W8" s="180">
        <f>+W37</f>
        <v>-55911.07</v>
      </c>
      <c r="X8" s="161"/>
      <c r="Y8" s="161"/>
      <c r="Z8" s="171"/>
    </row>
    <row r="9" spans="1:28" ht="15.75">
      <c r="A9" s="161"/>
      <c r="B9" s="160" t="s">
        <v>143</v>
      </c>
      <c r="C9" s="161"/>
      <c r="D9" s="161"/>
      <c r="E9" s="253">
        <f>+E40</f>
        <v>373392.07</v>
      </c>
      <c r="F9" s="161"/>
      <c r="G9" s="253">
        <f>+G40</f>
        <v>388885.26</v>
      </c>
      <c r="H9" s="178"/>
      <c r="I9" s="253">
        <f>+I40</f>
        <v>348388.43</v>
      </c>
      <c r="J9" s="178"/>
      <c r="K9" s="253">
        <f>+K40</f>
        <v>376391.28</v>
      </c>
      <c r="L9" s="178"/>
      <c r="M9" s="253">
        <f>+M40</f>
        <v>435251.37</v>
      </c>
      <c r="N9" s="253">
        <f>N40</f>
        <v>445099.26</v>
      </c>
      <c r="O9" s="179">
        <f>O40</f>
        <v>789806.67</v>
      </c>
      <c r="P9" s="180">
        <f t="shared" ref="P9:U9" si="2">+P40</f>
        <v>1626321.9</v>
      </c>
      <c r="Q9" s="180">
        <f t="shared" si="2"/>
        <v>1650000</v>
      </c>
      <c r="R9" s="180">
        <f t="shared" si="2"/>
        <v>0</v>
      </c>
      <c r="S9" s="180">
        <f t="shared" si="2"/>
        <v>1700000</v>
      </c>
      <c r="T9" s="180">
        <f t="shared" si="2"/>
        <v>0</v>
      </c>
      <c r="U9" s="180">
        <f t="shared" si="2"/>
        <v>1700000</v>
      </c>
      <c r="V9" s="181">
        <f t="shared" si="1"/>
        <v>3.0303030303030304E-2</v>
      </c>
      <c r="W9" s="180">
        <f>+W40</f>
        <v>50000</v>
      </c>
      <c r="X9" s="161"/>
      <c r="Y9" s="161"/>
      <c r="Z9" s="171"/>
    </row>
    <row r="10" spans="1:28" ht="15.75">
      <c r="A10" s="161"/>
      <c r="B10" s="160" t="s">
        <v>150</v>
      </c>
      <c r="C10" s="161"/>
      <c r="D10" s="161"/>
      <c r="E10" s="253">
        <f>+E47</f>
        <v>87634.569999999992</v>
      </c>
      <c r="F10" s="161"/>
      <c r="G10" s="253">
        <f>+G47</f>
        <v>97765.950000000012</v>
      </c>
      <c r="H10" s="178"/>
      <c r="I10" s="253">
        <f>+I47</f>
        <v>99763.24</v>
      </c>
      <c r="J10" s="178"/>
      <c r="K10" s="253">
        <f>+K47</f>
        <v>103076.94</v>
      </c>
      <c r="L10" s="178"/>
      <c r="M10" s="253">
        <f t="shared" ref="M10:S10" si="3">+M47</f>
        <v>113230.71</v>
      </c>
      <c r="N10" s="253">
        <f t="shared" si="3"/>
        <v>126297.73000000001</v>
      </c>
      <c r="O10" s="179">
        <f t="shared" si="3"/>
        <v>101410.01</v>
      </c>
      <c r="P10" s="180">
        <f>+P47</f>
        <v>149837.63</v>
      </c>
      <c r="Q10" s="180">
        <f>+Q47</f>
        <v>118000</v>
      </c>
      <c r="R10" s="180">
        <f t="shared" si="3"/>
        <v>0</v>
      </c>
      <c r="S10" s="180">
        <f t="shared" si="3"/>
        <v>139500</v>
      </c>
      <c r="T10" s="180">
        <f>+T47</f>
        <v>0</v>
      </c>
      <c r="U10" s="180">
        <f>+U47</f>
        <v>135500</v>
      </c>
      <c r="V10" s="181">
        <f t="shared" si="1"/>
        <v>0.14830508474576271</v>
      </c>
      <c r="W10" s="180">
        <f>+W47</f>
        <v>21500</v>
      </c>
      <c r="X10" s="161"/>
      <c r="Y10" s="161"/>
      <c r="Z10" s="171"/>
    </row>
    <row r="11" spans="1:28" ht="15.75">
      <c r="A11" s="161"/>
      <c r="B11" s="160" t="s">
        <v>151</v>
      </c>
      <c r="C11" s="161"/>
      <c r="D11" s="161"/>
      <c r="E11" s="253">
        <f>+E59</f>
        <v>476798.01</v>
      </c>
      <c r="F11" s="161"/>
      <c r="G11" s="253">
        <f>+G59</f>
        <v>426493.05000000005</v>
      </c>
      <c r="H11" s="178"/>
      <c r="I11" s="253">
        <f>+I59</f>
        <v>463352.98</v>
      </c>
      <c r="J11" s="178"/>
      <c r="K11" s="253">
        <f>+K59</f>
        <v>464448.39999999997</v>
      </c>
      <c r="L11" s="178"/>
      <c r="M11" s="253">
        <f t="shared" ref="M11:S11" si="4">+M59</f>
        <v>556473</v>
      </c>
      <c r="N11" s="253">
        <f t="shared" si="4"/>
        <v>555474.59</v>
      </c>
      <c r="O11" s="179">
        <f t="shared" si="4"/>
        <v>466471.8</v>
      </c>
      <c r="P11" s="180">
        <f>+P59</f>
        <v>877608.06</v>
      </c>
      <c r="Q11" s="180">
        <f>+Q59</f>
        <v>695600</v>
      </c>
      <c r="R11" s="180">
        <f t="shared" si="4"/>
        <v>0</v>
      </c>
      <c r="S11" s="180">
        <f t="shared" si="4"/>
        <v>641300</v>
      </c>
      <c r="T11" s="180">
        <f>+T59</f>
        <v>0</v>
      </c>
      <c r="U11" s="180">
        <f>+U59</f>
        <v>641300</v>
      </c>
      <c r="V11" s="181">
        <f t="shared" si="1"/>
        <v>-7.8062104657849338E-2</v>
      </c>
      <c r="W11" s="180">
        <f>+W59</f>
        <v>-44050</v>
      </c>
      <c r="X11" s="161"/>
      <c r="Y11" s="161"/>
      <c r="Z11" s="171"/>
    </row>
    <row r="12" spans="1:28" ht="15.75">
      <c r="A12" s="161"/>
      <c r="B12" s="160" t="s">
        <v>140</v>
      </c>
      <c r="C12" s="161"/>
      <c r="D12" s="161"/>
      <c r="E12" s="253">
        <f>+E76</f>
        <v>747047.82</v>
      </c>
      <c r="F12" s="161"/>
      <c r="G12" s="253">
        <f>+G76</f>
        <v>55620.53</v>
      </c>
      <c r="H12" s="178"/>
      <c r="I12" s="253">
        <f>+I76</f>
        <v>1552.73</v>
      </c>
      <c r="J12" s="178"/>
      <c r="K12" s="253">
        <f>+K76</f>
        <v>152724.6</v>
      </c>
      <c r="L12" s="178"/>
      <c r="M12" s="253">
        <f t="shared" ref="M12:S12" si="5">+M76</f>
        <v>137553.58000000002</v>
      </c>
      <c r="N12" s="253">
        <f t="shared" si="5"/>
        <v>440152.54</v>
      </c>
      <c r="O12" s="179">
        <f t="shared" si="5"/>
        <v>227401.49</v>
      </c>
      <c r="P12" s="180">
        <f>+P76</f>
        <v>321636.40000000002</v>
      </c>
      <c r="Q12" s="180">
        <f>+Q76</f>
        <v>153498.68</v>
      </c>
      <c r="R12" s="180">
        <f t="shared" si="5"/>
        <v>0</v>
      </c>
      <c r="S12" s="180">
        <f t="shared" si="5"/>
        <v>137705.26999999999</v>
      </c>
      <c r="T12" s="180">
        <f>+T76</f>
        <v>0</v>
      </c>
      <c r="U12" s="180">
        <f>+U76</f>
        <v>172500</v>
      </c>
      <c r="V12" s="181">
        <f t="shared" si="1"/>
        <v>0.12378816547477807</v>
      </c>
      <c r="W12" s="180">
        <f>+W76</f>
        <v>205.26999999999998</v>
      </c>
      <c r="X12" s="161"/>
      <c r="Y12" s="161"/>
      <c r="Z12" s="171"/>
    </row>
    <row r="13" spans="1:28" ht="15.75">
      <c r="A13" s="161"/>
      <c r="B13" s="160" t="s">
        <v>23</v>
      </c>
      <c r="C13" s="161"/>
      <c r="D13" s="161"/>
      <c r="E13" s="253">
        <f>+E80</f>
        <v>8500</v>
      </c>
      <c r="F13" s="161"/>
      <c r="G13" s="253">
        <f>+G80</f>
        <v>8500</v>
      </c>
      <c r="H13" s="178"/>
      <c r="I13" s="253">
        <f>+I80</f>
        <v>8500</v>
      </c>
      <c r="J13" s="178"/>
      <c r="K13" s="253">
        <f>+K80</f>
        <v>8500</v>
      </c>
      <c r="L13" s="178"/>
      <c r="M13" s="253">
        <f t="shared" ref="M13:S13" si="6">+M80</f>
        <v>6000</v>
      </c>
      <c r="N13" s="253">
        <f t="shared" si="6"/>
        <v>6000</v>
      </c>
      <c r="O13" s="179">
        <f t="shared" si="6"/>
        <v>6620</v>
      </c>
      <c r="P13" s="180">
        <f>+P80</f>
        <v>25096</v>
      </c>
      <c r="Q13" s="180">
        <f>+Q80</f>
        <v>28000</v>
      </c>
      <c r="R13" s="180">
        <f t="shared" si="6"/>
        <v>0</v>
      </c>
      <c r="S13" s="180">
        <f t="shared" si="6"/>
        <v>28000</v>
      </c>
      <c r="T13" s="180">
        <f>+T80</f>
        <v>0</v>
      </c>
      <c r="U13" s="180">
        <f>+U80</f>
        <v>28000</v>
      </c>
      <c r="V13" s="181">
        <f t="shared" si="1"/>
        <v>0</v>
      </c>
      <c r="W13" s="180">
        <f>+W80</f>
        <v>0</v>
      </c>
      <c r="X13" s="161"/>
      <c r="Y13" s="161"/>
      <c r="Z13" s="171"/>
    </row>
    <row r="14" spans="1:28" ht="15.75">
      <c r="A14" s="161"/>
      <c r="B14" s="160" t="s">
        <v>466</v>
      </c>
      <c r="C14" s="161"/>
      <c r="D14" s="161"/>
      <c r="E14" s="253">
        <f>+E93</f>
        <v>178719.51</v>
      </c>
      <c r="F14" s="161"/>
      <c r="G14" s="253">
        <f>+G93</f>
        <v>189710.09</v>
      </c>
      <c r="H14" s="178"/>
      <c r="I14" s="253">
        <f>+I93</f>
        <v>219557.01999999996</v>
      </c>
      <c r="J14" s="178"/>
      <c r="K14" s="253">
        <f>+K93</f>
        <v>222360.07000000004</v>
      </c>
      <c r="L14" s="178"/>
      <c r="M14" s="253">
        <f t="shared" ref="M14:S14" si="7">+M93</f>
        <v>262887.38</v>
      </c>
      <c r="N14" s="253">
        <f t="shared" si="7"/>
        <v>234526.96000000002</v>
      </c>
      <c r="O14" s="179">
        <f t="shared" si="7"/>
        <v>303786.71000000002</v>
      </c>
      <c r="P14" s="180">
        <f>+P93</f>
        <v>445420.07000000007</v>
      </c>
      <c r="Q14" s="180">
        <f>+Q93</f>
        <v>431550</v>
      </c>
      <c r="R14" s="180">
        <f t="shared" si="7"/>
        <v>0</v>
      </c>
      <c r="S14" s="180">
        <f t="shared" si="7"/>
        <v>440749.33</v>
      </c>
      <c r="T14" s="180">
        <f>+T93</f>
        <v>0</v>
      </c>
      <c r="U14" s="180">
        <f>+U93</f>
        <v>441400</v>
      </c>
      <c r="V14" s="181">
        <f t="shared" si="1"/>
        <v>2.2824701656818446E-2</v>
      </c>
      <c r="W14" s="180">
        <f>+W93</f>
        <v>9199.33</v>
      </c>
      <c r="X14" s="161"/>
      <c r="Y14" s="161"/>
      <c r="Z14" s="171"/>
    </row>
    <row r="15" spans="1:28" ht="15.75">
      <c r="A15" s="161"/>
      <c r="B15" s="160" t="s">
        <v>462</v>
      </c>
      <c r="C15" s="161"/>
      <c r="D15" s="161"/>
      <c r="E15" s="253">
        <f>E136</f>
        <v>709072.30999999982</v>
      </c>
      <c r="F15" s="161"/>
      <c r="G15" s="253">
        <f>G136</f>
        <v>288794.87</v>
      </c>
      <c r="H15" s="178"/>
      <c r="I15" s="253">
        <f>I136</f>
        <v>329457.30999999994</v>
      </c>
      <c r="J15" s="178"/>
      <c r="K15" s="253">
        <f>K136</f>
        <v>255713.85</v>
      </c>
      <c r="L15" s="178"/>
      <c r="M15" s="253">
        <f t="shared" ref="M15:S15" si="8">M136</f>
        <v>627316.82999999996</v>
      </c>
      <c r="N15" s="253">
        <f t="shared" si="8"/>
        <v>281019.82</v>
      </c>
      <c r="O15" s="179">
        <f t="shared" si="8"/>
        <v>315977.05000000005</v>
      </c>
      <c r="P15" s="179">
        <f>P136</f>
        <v>497572.71</v>
      </c>
      <c r="Q15" s="179">
        <f>Q136</f>
        <v>423927.5</v>
      </c>
      <c r="R15" s="179">
        <f t="shared" si="8"/>
        <v>0</v>
      </c>
      <c r="S15" s="179">
        <f t="shared" si="8"/>
        <v>603665.34000000008</v>
      </c>
      <c r="T15" s="179">
        <f>T136</f>
        <v>0</v>
      </c>
      <c r="U15" s="179">
        <f>U136</f>
        <v>502600</v>
      </c>
      <c r="V15" s="181">
        <f t="shared" si="1"/>
        <v>0.18558008149978475</v>
      </c>
      <c r="W15" s="179">
        <f>W136</f>
        <v>0</v>
      </c>
      <c r="X15" s="161"/>
      <c r="Y15" s="161"/>
      <c r="Z15" s="171"/>
    </row>
    <row r="16" spans="1:28" ht="15.75">
      <c r="A16" s="161"/>
      <c r="B16" s="160" t="s">
        <v>712</v>
      </c>
      <c r="C16" s="161"/>
      <c r="D16" s="161"/>
      <c r="E16" s="253" t="e">
        <f>E139</f>
        <v>#REF!</v>
      </c>
      <c r="F16" s="161"/>
      <c r="G16" s="253">
        <f>G139</f>
        <v>0</v>
      </c>
      <c r="H16" s="178"/>
      <c r="I16" s="253">
        <f>I139</f>
        <v>39.64</v>
      </c>
      <c r="J16" s="178"/>
      <c r="K16" s="253">
        <f>K139</f>
        <v>0</v>
      </c>
      <c r="L16" s="178"/>
      <c r="M16" s="253">
        <f t="shared" ref="M16:S16" si="9">M139</f>
        <v>0</v>
      </c>
      <c r="N16" s="253">
        <f t="shared" si="9"/>
        <v>0</v>
      </c>
      <c r="O16" s="179">
        <f t="shared" si="9"/>
        <v>511528.9</v>
      </c>
      <c r="P16" s="179">
        <f>P139</f>
        <v>146596.10999999999</v>
      </c>
      <c r="Q16" s="179">
        <f>Q139</f>
        <v>0</v>
      </c>
      <c r="R16" s="179">
        <f t="shared" si="9"/>
        <v>0</v>
      </c>
      <c r="S16" s="179">
        <f t="shared" si="9"/>
        <v>0</v>
      </c>
      <c r="T16" s="179">
        <f>T139</f>
        <v>0</v>
      </c>
      <c r="U16" s="179">
        <f>U139</f>
        <v>0</v>
      </c>
      <c r="V16" s="181">
        <v>0</v>
      </c>
      <c r="W16" s="179">
        <f>W139</f>
        <v>0</v>
      </c>
      <c r="X16" s="161"/>
      <c r="Y16" s="161"/>
      <c r="Z16" s="171"/>
    </row>
    <row r="17" spans="1:26" ht="21" thickBot="1">
      <c r="A17" s="177" t="s">
        <v>469</v>
      </c>
      <c r="B17" s="161"/>
      <c r="C17" s="250"/>
      <c r="D17" s="371"/>
      <c r="E17" s="372" t="e">
        <f>SUM(E8:E16)</f>
        <v>#REF!</v>
      </c>
      <c r="F17" s="371"/>
      <c r="G17" s="372">
        <f>SUM(G8:G16)</f>
        <v>2220355.6900000004</v>
      </c>
      <c r="H17" s="373"/>
      <c r="I17" s="372">
        <f>SUM(I8:I16)</f>
        <v>2235124.12</v>
      </c>
      <c r="J17" s="373"/>
      <c r="K17" s="372">
        <f>SUM(K8:K16)</f>
        <v>2475032.08</v>
      </c>
      <c r="L17" s="373"/>
      <c r="M17" s="372">
        <f t="shared" ref="M17:T17" si="10">SUM(M8:M16)</f>
        <v>3025052.03</v>
      </c>
      <c r="N17" s="372">
        <f t="shared" si="10"/>
        <v>2967910.5399999996</v>
      </c>
      <c r="O17" s="374">
        <f t="shared" si="10"/>
        <v>3750644.4299999992</v>
      </c>
      <c r="P17" s="375">
        <f>SUM(P8:P16)</f>
        <v>5367184.3000000007</v>
      </c>
      <c r="Q17" s="375">
        <f t="shared" si="10"/>
        <v>4924575.18</v>
      </c>
      <c r="R17" s="375">
        <f t="shared" si="10"/>
        <v>0</v>
      </c>
      <c r="S17" s="375">
        <f t="shared" si="10"/>
        <v>5059007.8699999992</v>
      </c>
      <c r="T17" s="375">
        <f t="shared" si="10"/>
        <v>0</v>
      </c>
      <c r="U17" s="375">
        <f>SUM(U8:U16)</f>
        <v>5432300</v>
      </c>
      <c r="V17" s="376">
        <f>(U17-Q17)/Q17</f>
        <v>0.1031002272159444</v>
      </c>
      <c r="W17" s="182">
        <f>SUM(W8:W16)</f>
        <v>-19056.47</v>
      </c>
      <c r="X17" s="183" t="e">
        <f>W17/R17</f>
        <v>#DIV/0!</v>
      </c>
      <c r="Y17" s="161"/>
      <c r="Z17" s="171"/>
    </row>
    <row r="18" spans="1:26" ht="21.75" thickTop="1" thickBot="1">
      <c r="A18" s="422" t="s">
        <v>141</v>
      </c>
      <c r="B18" s="422"/>
      <c r="C18" s="250"/>
      <c r="D18" s="179"/>
      <c r="E18" s="258"/>
      <c r="F18" s="179"/>
      <c r="G18" s="258"/>
      <c r="H18" s="253"/>
      <c r="I18" s="258"/>
      <c r="J18" s="253"/>
      <c r="K18" s="258"/>
      <c r="L18" s="253"/>
      <c r="M18" s="258"/>
      <c r="N18" s="258"/>
      <c r="O18" s="251"/>
      <c r="P18" s="251"/>
      <c r="Q18" s="258"/>
      <c r="R18" s="377"/>
      <c r="S18" s="377"/>
      <c r="T18" s="179"/>
      <c r="U18" s="184"/>
      <c r="V18" s="369"/>
      <c r="W18" s="184"/>
      <c r="X18" s="161"/>
      <c r="Y18" s="161"/>
      <c r="Z18" s="171"/>
    </row>
    <row r="19" spans="1:26" ht="15.75">
      <c r="A19" s="161"/>
      <c r="B19" s="259" t="s">
        <v>107</v>
      </c>
      <c r="C19" s="185"/>
      <c r="D19" s="378"/>
      <c r="E19" s="260">
        <f>E182+E207+E212+E236+E551</f>
        <v>533440</v>
      </c>
      <c r="F19" s="378"/>
      <c r="G19" s="185">
        <f>G182+G207+G212+G236+G551+G230</f>
        <v>496124.26000000007</v>
      </c>
      <c r="H19" s="261"/>
      <c r="I19" s="185">
        <f>I182+I207+I212+I236+I551+I230</f>
        <v>529768.92000000004</v>
      </c>
      <c r="J19" s="261"/>
      <c r="K19" s="185">
        <f>K182+K207+K212+K236+K551+K230</f>
        <v>729888.52999999991</v>
      </c>
      <c r="L19" s="261"/>
      <c r="M19" s="185">
        <f t="shared" ref="M19:S19" si="11">M182+M207+M212+M236+M551+M230</f>
        <v>510778.36</v>
      </c>
      <c r="N19" s="185">
        <f t="shared" si="11"/>
        <v>475918.66999999993</v>
      </c>
      <c r="O19" s="185">
        <f t="shared" si="11"/>
        <v>1102008.76</v>
      </c>
      <c r="P19" s="185">
        <f t="shared" si="11"/>
        <v>1030070.8100000002</v>
      </c>
      <c r="Q19" s="185">
        <f t="shared" si="11"/>
        <v>1051288.5999999999</v>
      </c>
      <c r="R19" s="185">
        <f t="shared" si="11"/>
        <v>0</v>
      </c>
      <c r="S19" s="185">
        <f t="shared" si="11"/>
        <v>1056531.53</v>
      </c>
      <c r="T19" s="378"/>
      <c r="U19" s="185">
        <f>U182+U207+U212+U236+U551+U230</f>
        <v>1243039</v>
      </c>
      <c r="V19" s="181">
        <f t="shared" ref="V19:V24" si="12">(U19-Q19)/Q19</f>
        <v>0.18239558576018056</v>
      </c>
      <c r="W19" s="185" t="e">
        <f>W182+W207+W212+W236+#REF!+#REF!</f>
        <v>#REF!</v>
      </c>
      <c r="X19" s="161"/>
      <c r="Y19" s="161"/>
      <c r="Z19" s="171"/>
    </row>
    <row r="20" spans="1:26" ht="15.75">
      <c r="A20" s="161"/>
      <c r="B20" s="259" t="s">
        <v>109</v>
      </c>
      <c r="C20" s="185"/>
      <c r="D20" s="378"/>
      <c r="E20" s="260">
        <f>E287+E330+E376+E543</f>
        <v>1419546</v>
      </c>
      <c r="F20" s="378"/>
      <c r="G20" s="260">
        <f>G287+G330+G376+G543</f>
        <v>1316343.7100000004</v>
      </c>
      <c r="H20" s="261"/>
      <c r="I20" s="260">
        <f>I287+I330+I376+I543</f>
        <v>1499962.3299999998</v>
      </c>
      <c r="J20" s="261"/>
      <c r="K20" s="260">
        <f>K287+K330+K376+K543</f>
        <v>1701509.64</v>
      </c>
      <c r="L20" s="261"/>
      <c r="M20" s="260">
        <f>M287+M330+M376+M543</f>
        <v>2114217.54</v>
      </c>
      <c r="N20" s="260">
        <f t="shared" ref="N20:S20" si="13">N287+N330+N376+N543+N591</f>
        <v>1533094.0500000007</v>
      </c>
      <c r="O20" s="185">
        <f t="shared" si="13"/>
        <v>1606057.3999999994</v>
      </c>
      <c r="P20" s="185">
        <f t="shared" si="13"/>
        <v>2404635.92</v>
      </c>
      <c r="Q20" s="185">
        <f t="shared" si="13"/>
        <v>2455061.1800000002</v>
      </c>
      <c r="R20" s="185">
        <f t="shared" si="13"/>
        <v>0</v>
      </c>
      <c r="S20" s="185">
        <f t="shared" si="13"/>
        <v>2699937.86</v>
      </c>
      <c r="T20" s="378"/>
      <c r="U20" s="185">
        <f>U287+U330+U376+U543+U591</f>
        <v>2677401</v>
      </c>
      <c r="V20" s="181">
        <f t="shared" si="12"/>
        <v>9.0563861223205783E-2</v>
      </c>
      <c r="W20" s="185">
        <f>W287+W330+W376+W536</f>
        <v>244876.67999999982</v>
      </c>
      <c r="X20" s="161"/>
      <c r="Y20" s="161"/>
      <c r="Z20" s="171"/>
    </row>
    <row r="21" spans="1:26" ht="15.75">
      <c r="A21" s="161"/>
      <c r="B21" s="259" t="s">
        <v>110</v>
      </c>
      <c r="C21" s="185"/>
      <c r="D21" s="378"/>
      <c r="E21" s="260">
        <f>E338+E424</f>
        <v>152126</v>
      </c>
      <c r="F21" s="378"/>
      <c r="G21" s="260">
        <f>G338+G424</f>
        <v>106106.16999999997</v>
      </c>
      <c r="H21" s="261"/>
      <c r="I21" s="260">
        <f>I338+I424</f>
        <v>90434.87</v>
      </c>
      <c r="J21" s="261"/>
      <c r="K21" s="260">
        <f>K338+K424</f>
        <v>152003.94999999998</v>
      </c>
      <c r="L21" s="261"/>
      <c r="M21" s="260">
        <f t="shared" ref="M21:S21" si="14">M338+M424</f>
        <v>124789.9</v>
      </c>
      <c r="N21" s="260">
        <f t="shared" si="14"/>
        <v>1269892.7599999998</v>
      </c>
      <c r="O21" s="185">
        <f t="shared" si="14"/>
        <v>227535.25999999998</v>
      </c>
      <c r="P21" s="185">
        <f t="shared" si="14"/>
        <v>602067.62</v>
      </c>
      <c r="Q21" s="185">
        <f t="shared" si="14"/>
        <v>560711</v>
      </c>
      <c r="R21" s="185">
        <f t="shared" si="14"/>
        <v>0</v>
      </c>
      <c r="S21" s="185">
        <f t="shared" si="14"/>
        <v>594452.43999999994</v>
      </c>
      <c r="T21" s="378"/>
      <c r="U21" s="185">
        <f>U338+U424</f>
        <v>571367</v>
      </c>
      <c r="V21" s="181">
        <f t="shared" si="12"/>
        <v>1.9004442573803616E-2</v>
      </c>
      <c r="W21" s="185" t="e">
        <f>#REF!+W424</f>
        <v>#REF!</v>
      </c>
      <c r="X21" s="161"/>
      <c r="Y21" s="161"/>
      <c r="Z21" s="171"/>
    </row>
    <row r="22" spans="1:26" ht="15.75">
      <c r="A22" s="161"/>
      <c r="B22" s="259" t="s">
        <v>111</v>
      </c>
      <c r="C22" s="185"/>
      <c r="D22" s="378"/>
      <c r="E22" s="260">
        <f>E386</f>
        <v>3467</v>
      </c>
      <c r="F22" s="378"/>
      <c r="G22" s="260">
        <f>G386</f>
        <v>1580.73</v>
      </c>
      <c r="H22" s="261"/>
      <c r="I22" s="260">
        <f>I386</f>
        <v>1202.6000000000001</v>
      </c>
      <c r="J22" s="261"/>
      <c r="K22" s="260">
        <f>K386</f>
        <v>41840.53</v>
      </c>
      <c r="L22" s="261"/>
      <c r="M22" s="260">
        <f t="shared" ref="M22:S22" si="15">M386</f>
        <v>10813.33</v>
      </c>
      <c r="N22" s="260">
        <f t="shared" si="15"/>
        <v>391929.75</v>
      </c>
      <c r="O22" s="185">
        <f t="shared" si="15"/>
        <v>29277.06</v>
      </c>
      <c r="P22" s="185">
        <f t="shared" si="15"/>
        <v>2907.73</v>
      </c>
      <c r="Q22" s="185">
        <f t="shared" si="15"/>
        <v>2200</v>
      </c>
      <c r="R22" s="185">
        <f t="shared" si="15"/>
        <v>0</v>
      </c>
      <c r="S22" s="185">
        <f t="shared" si="15"/>
        <v>2500</v>
      </c>
      <c r="T22" s="378"/>
      <c r="U22" s="185">
        <f>U386</f>
        <v>2500</v>
      </c>
      <c r="V22" s="181">
        <f t="shared" si="12"/>
        <v>0.13636363636363635</v>
      </c>
      <c r="W22" s="185" t="e">
        <f>#REF!</f>
        <v>#REF!</v>
      </c>
      <c r="X22" s="161"/>
      <c r="Y22" s="161"/>
      <c r="Z22" s="171"/>
    </row>
    <row r="23" spans="1:26" ht="15.75">
      <c r="A23" s="161"/>
      <c r="B23" s="259" t="s">
        <v>112</v>
      </c>
      <c r="C23" s="185"/>
      <c r="D23" s="378"/>
      <c r="E23" s="260">
        <f>E367</f>
        <v>61573</v>
      </c>
      <c r="F23" s="378"/>
      <c r="G23" s="260">
        <f>G367</f>
        <v>38984.439999999995</v>
      </c>
      <c r="H23" s="261"/>
      <c r="I23" s="260">
        <f>I367</f>
        <v>37218.730000000003</v>
      </c>
      <c r="J23" s="261"/>
      <c r="K23" s="260">
        <f>K367</f>
        <v>54117.72</v>
      </c>
      <c r="L23" s="261"/>
      <c r="M23" s="260">
        <f>M367</f>
        <v>42134.070000000007</v>
      </c>
      <c r="N23" s="260">
        <f>N367+N392</f>
        <v>61134.749999999993</v>
      </c>
      <c r="O23" s="185">
        <f>O367+O392</f>
        <v>85401.889999999985</v>
      </c>
      <c r="P23" s="185">
        <f>P367+P392+P577</f>
        <v>141848.44</v>
      </c>
      <c r="Q23" s="185">
        <f>Q367+Q392+Q577</f>
        <v>211696</v>
      </c>
      <c r="R23" s="185">
        <f>R367+R392</f>
        <v>0</v>
      </c>
      <c r="S23" s="185">
        <f>S367+S392+S577</f>
        <v>215659.98</v>
      </c>
      <c r="T23" s="378"/>
      <c r="U23" s="185">
        <f>U367+U392+U577</f>
        <v>233099</v>
      </c>
      <c r="V23" s="181">
        <f t="shared" si="12"/>
        <v>0.10110252437457486</v>
      </c>
      <c r="W23" s="185" t="e">
        <f>#REF!</f>
        <v>#REF!</v>
      </c>
      <c r="X23" s="161"/>
      <c r="Y23" s="161"/>
      <c r="Z23" s="171"/>
    </row>
    <row r="24" spans="1:26" ht="15.75">
      <c r="A24" s="161"/>
      <c r="B24" s="259" t="s">
        <v>113</v>
      </c>
      <c r="C24" s="185"/>
      <c r="D24" s="378"/>
      <c r="E24" s="260">
        <f>E473+E502+E523+E555</f>
        <v>342592</v>
      </c>
      <c r="F24" s="378"/>
      <c r="G24" s="260">
        <f>G473+G502+G523+G555</f>
        <v>338065.21999999991</v>
      </c>
      <c r="H24" s="261"/>
      <c r="I24" s="260">
        <f>I473+I502+I523+I555</f>
        <v>514614.91000000003</v>
      </c>
      <c r="J24" s="261"/>
      <c r="K24" s="260">
        <f>K473+K502+K523+K555</f>
        <v>403719.12000000005</v>
      </c>
      <c r="L24" s="261"/>
      <c r="M24" s="260">
        <f>M473+M502+M523+M555</f>
        <v>327379.18</v>
      </c>
      <c r="N24" s="260">
        <f>N473+N502+N523+N555+N577</f>
        <v>402140.39999999997</v>
      </c>
      <c r="O24" s="185">
        <f>O473+O502+O523+O555+O577</f>
        <v>509168.33999999991</v>
      </c>
      <c r="P24" s="185">
        <f>P473+P502+P523+P555</f>
        <v>863235.38</v>
      </c>
      <c r="Q24" s="185">
        <f>Q473+Q502+Q523+Q555</f>
        <v>645341</v>
      </c>
      <c r="R24" s="185">
        <f>R473+R502+R523+R555+R577</f>
        <v>0</v>
      </c>
      <c r="S24" s="185">
        <f>S473+S502+S523+S555</f>
        <v>761724.42999999993</v>
      </c>
      <c r="T24" s="378"/>
      <c r="U24" s="185">
        <f>U473+U502+U523+U555</f>
        <v>704894</v>
      </c>
      <c r="V24" s="181">
        <f t="shared" si="12"/>
        <v>9.2281445003494278E-2</v>
      </c>
      <c r="W24" s="181" t="e">
        <f>(V24-R24)/R24</f>
        <v>#DIV/0!</v>
      </c>
      <c r="X24" s="181" t="e">
        <f>(W24-S24)/S24</f>
        <v>#DIV/0!</v>
      </c>
      <c r="Y24" s="161"/>
      <c r="Z24" s="171"/>
    </row>
    <row r="25" spans="1:26" ht="15.75">
      <c r="A25" s="161"/>
      <c r="B25" s="160" t="s">
        <v>974</v>
      </c>
      <c r="C25" s="161"/>
      <c r="D25" s="161"/>
      <c r="E25" s="253">
        <f>E147</f>
        <v>96959</v>
      </c>
      <c r="F25" s="161"/>
      <c r="G25" s="253">
        <f>G147</f>
        <v>96118.05</v>
      </c>
      <c r="H25" s="178"/>
      <c r="I25" s="253">
        <f>I147</f>
        <v>110641.48</v>
      </c>
      <c r="J25" s="178"/>
      <c r="K25" s="253">
        <f>K147</f>
        <v>122064.1</v>
      </c>
      <c r="L25" s="178"/>
      <c r="M25" s="253">
        <f t="shared" ref="M25:S25" si="16">M558</f>
        <v>82758.350000000006</v>
      </c>
      <c r="N25" s="253">
        <f t="shared" si="16"/>
        <v>0</v>
      </c>
      <c r="O25" s="179">
        <f t="shared" si="16"/>
        <v>0</v>
      </c>
      <c r="P25" s="253">
        <f t="shared" si="16"/>
        <v>0</v>
      </c>
      <c r="Q25" s="253">
        <f t="shared" si="16"/>
        <v>0</v>
      </c>
      <c r="R25" s="253">
        <f t="shared" si="16"/>
        <v>0</v>
      </c>
      <c r="S25" s="253">
        <f t="shared" si="16"/>
        <v>0</v>
      </c>
      <c r="T25" s="180"/>
      <c r="U25" s="253">
        <f>U558</f>
        <v>0</v>
      </c>
      <c r="V25" s="181">
        <v>0</v>
      </c>
      <c r="W25" s="179">
        <f>W147</f>
        <v>0</v>
      </c>
      <c r="X25" s="161"/>
      <c r="Y25" s="161"/>
      <c r="Z25" s="171"/>
    </row>
    <row r="26" spans="1:26" ht="16.5" thickBot="1">
      <c r="A26" s="262" t="s">
        <v>144</v>
      </c>
      <c r="C26" s="185"/>
      <c r="D26" s="379"/>
      <c r="E26" s="380">
        <f>SUM(E19:E24)</f>
        <v>2512744</v>
      </c>
      <c r="F26" s="379"/>
      <c r="G26" s="380">
        <f>SUM(G19:G24)</f>
        <v>2297204.5300000003</v>
      </c>
      <c r="H26" s="381"/>
      <c r="I26" s="380">
        <f>SUM(I19:I24)</f>
        <v>2673202.3600000003</v>
      </c>
      <c r="J26" s="381"/>
      <c r="K26" s="380">
        <f>SUM(K19:K24)</f>
        <v>3083079.49</v>
      </c>
      <c r="L26" s="381"/>
      <c r="M26" s="380">
        <f t="shared" ref="M26:T26" si="17">SUM(M19:M25)</f>
        <v>3212870.73</v>
      </c>
      <c r="N26" s="380">
        <f t="shared" si="17"/>
        <v>4134110.3800000004</v>
      </c>
      <c r="O26" s="382">
        <f t="shared" si="17"/>
        <v>3559448.709999999</v>
      </c>
      <c r="P26" s="383">
        <f t="shared" si="17"/>
        <v>5044765.9000000004</v>
      </c>
      <c r="Q26" s="383">
        <f t="shared" si="17"/>
        <v>4926297.78</v>
      </c>
      <c r="R26" s="383">
        <f t="shared" si="17"/>
        <v>0</v>
      </c>
      <c r="S26" s="383">
        <f t="shared" si="17"/>
        <v>5330806.24</v>
      </c>
      <c r="T26" s="383">
        <f t="shared" si="17"/>
        <v>0</v>
      </c>
      <c r="U26" s="383">
        <f>SUM(U19:U25)</f>
        <v>5432300</v>
      </c>
      <c r="V26" s="384">
        <f>(U26-Q26)/Q26</f>
        <v>0.1027145013552144</v>
      </c>
      <c r="W26" s="186" t="e">
        <f>SUM(W19:W24)</f>
        <v>#REF!</v>
      </c>
      <c r="X26" s="161"/>
      <c r="Y26" s="161"/>
      <c r="Z26" s="171"/>
    </row>
    <row r="27" spans="1:26" ht="21" thickBot="1">
      <c r="A27" s="177" t="s">
        <v>145</v>
      </c>
      <c r="B27" s="161"/>
      <c r="C27" s="250"/>
      <c r="D27" s="385"/>
      <c r="E27" s="386" t="e">
        <f>+E17-E26</f>
        <v>#REF!</v>
      </c>
      <c r="F27" s="385"/>
      <c r="G27" s="386">
        <f>+G17-G26</f>
        <v>-76848.839999999851</v>
      </c>
      <c r="H27" s="387"/>
      <c r="I27" s="386">
        <f>+I17-I26</f>
        <v>-438078.24000000022</v>
      </c>
      <c r="J27" s="387"/>
      <c r="K27" s="386">
        <f>+K17-K26</f>
        <v>-608047.41000000015</v>
      </c>
      <c r="L27" s="387"/>
      <c r="M27" s="386">
        <f>+M17-M26</f>
        <v>-187818.70000000019</v>
      </c>
      <c r="N27" s="386">
        <f>+N17-N26</f>
        <v>-1166199.8400000008</v>
      </c>
      <c r="O27" s="388">
        <f>+O17-O26</f>
        <v>191195.7200000002</v>
      </c>
      <c r="P27" s="375">
        <f t="shared" ref="P27:U27" si="18">P17-P26</f>
        <v>322418.40000000037</v>
      </c>
      <c r="Q27" s="375">
        <f t="shared" si="18"/>
        <v>-1722.6000000005588</v>
      </c>
      <c r="R27" s="375">
        <f t="shared" si="18"/>
        <v>0</v>
      </c>
      <c r="S27" s="375">
        <f t="shared" si="18"/>
        <v>-271798.37000000104</v>
      </c>
      <c r="T27" s="375">
        <f t="shared" si="18"/>
        <v>0</v>
      </c>
      <c r="U27" s="375">
        <f t="shared" si="18"/>
        <v>0</v>
      </c>
      <c r="V27" s="256"/>
      <c r="W27" s="187" t="e">
        <f>+W17-W26</f>
        <v>#REF!</v>
      </c>
      <c r="X27" s="161"/>
      <c r="Y27" s="161"/>
      <c r="Z27" s="171"/>
    </row>
    <row r="28" spans="1:26" ht="21" thickTop="1">
      <c r="A28" s="161"/>
      <c r="B28" s="161"/>
      <c r="C28" s="250"/>
      <c r="D28" s="179"/>
      <c r="E28" s="258"/>
      <c r="F28" s="179"/>
      <c r="G28" s="258"/>
      <c r="H28" s="253"/>
      <c r="I28" s="258"/>
      <c r="J28" s="253"/>
      <c r="K28" s="258"/>
      <c r="L28" s="253"/>
      <c r="M28" s="258"/>
      <c r="N28" s="258"/>
      <c r="O28" s="251"/>
      <c r="P28" s="251"/>
      <c r="Q28" s="258"/>
      <c r="R28" s="377"/>
      <c r="S28" s="377"/>
      <c r="T28" s="179"/>
      <c r="U28" s="184"/>
      <c r="V28" s="369"/>
      <c r="W28" s="180"/>
      <c r="X28" s="161"/>
      <c r="Y28" s="161"/>
      <c r="Z28" s="171"/>
    </row>
    <row r="29" spans="1:26" ht="20.25">
      <c r="A29" s="161" t="s">
        <v>1328</v>
      </c>
      <c r="B29" s="161"/>
      <c r="C29" s="250"/>
      <c r="D29" s="179"/>
      <c r="E29" s="258"/>
      <c r="F29" s="179"/>
      <c r="G29" s="258"/>
      <c r="H29" s="253"/>
      <c r="I29" s="258"/>
      <c r="J29" s="253"/>
      <c r="K29" s="258"/>
      <c r="L29" s="253"/>
      <c r="M29" s="258"/>
      <c r="N29" s="258"/>
      <c r="O29" s="251"/>
      <c r="P29" s="251"/>
      <c r="Q29" s="258"/>
      <c r="R29" s="170"/>
      <c r="S29" s="170"/>
      <c r="T29" s="179"/>
      <c r="U29" s="389">
        <f>U26-Q26</f>
        <v>506002.21999999974</v>
      </c>
      <c r="V29" s="303">
        <f>U29/Q26</f>
        <v>0.1027145013552144</v>
      </c>
      <c r="W29" s="180"/>
      <c r="X29" s="161"/>
      <c r="Y29" s="161"/>
      <c r="Z29" s="171"/>
    </row>
    <row r="30" spans="1:26" ht="20.25">
      <c r="A30" s="161"/>
      <c r="B30" s="161"/>
      <c r="C30" s="250"/>
      <c r="D30" s="179"/>
      <c r="E30" s="258"/>
      <c r="F30" s="179"/>
      <c r="G30" s="258"/>
      <c r="H30" s="253"/>
      <c r="I30" s="258"/>
      <c r="J30" s="253"/>
      <c r="K30" s="258"/>
      <c r="L30" s="253"/>
      <c r="M30" s="258"/>
      <c r="N30" s="258"/>
      <c r="O30" s="251"/>
      <c r="P30" s="251"/>
      <c r="Q30" s="258"/>
      <c r="R30" s="377"/>
      <c r="S30" s="377"/>
      <c r="T30" s="179"/>
      <c r="U30" s="390"/>
      <c r="V30" s="369"/>
      <c r="W30" s="180"/>
      <c r="X30" s="161"/>
      <c r="Y30" s="161"/>
      <c r="Z30" s="171"/>
    </row>
    <row r="31" spans="1:26" ht="24" customHeight="1" thickBot="1">
      <c r="A31" s="422" t="s">
        <v>1350</v>
      </c>
      <c r="B31" s="422"/>
      <c r="C31" s="185"/>
      <c r="E31" s="165"/>
      <c r="G31" s="165"/>
      <c r="H31" s="165"/>
      <c r="I31" s="165"/>
      <c r="J31" s="165"/>
      <c r="K31" s="165"/>
      <c r="L31" s="165"/>
      <c r="M31" s="165"/>
      <c r="N31" s="165"/>
      <c r="R31" s="162"/>
      <c r="S31" s="162"/>
      <c r="U31" s="162"/>
      <c r="W31" s="180"/>
    </row>
    <row r="32" spans="1:26">
      <c r="E32" s="165"/>
      <c r="G32" s="165"/>
      <c r="H32" s="165"/>
      <c r="I32" s="165"/>
      <c r="J32" s="165"/>
      <c r="K32" s="165"/>
      <c r="L32" s="165"/>
      <c r="M32" s="165"/>
      <c r="N32" s="165"/>
      <c r="R32" s="162"/>
      <c r="S32" s="162"/>
      <c r="U32" s="162"/>
      <c r="W32" s="180"/>
    </row>
    <row r="33" spans="1:26">
      <c r="A33" s="160" t="s">
        <v>489</v>
      </c>
      <c r="B33" s="160" t="s">
        <v>1392</v>
      </c>
      <c r="E33" s="165">
        <v>682792.34</v>
      </c>
      <c r="G33" s="165">
        <v>732494.18</v>
      </c>
      <c r="H33" s="165"/>
      <c r="I33" s="165">
        <v>732822.76</v>
      </c>
      <c r="J33" s="165"/>
      <c r="K33" s="165">
        <v>856957.91</v>
      </c>
      <c r="L33" s="165"/>
      <c r="M33" s="165">
        <v>829221.27</v>
      </c>
      <c r="N33" s="165">
        <v>841051.53</v>
      </c>
      <c r="O33" s="162">
        <v>994421.59</v>
      </c>
      <c r="P33" s="162">
        <v>1266336.26</v>
      </c>
      <c r="Q33" s="162">
        <v>1420999</v>
      </c>
      <c r="R33" s="162"/>
      <c r="S33" s="162">
        <v>1373140</v>
      </c>
      <c r="U33" s="162">
        <v>1825000</v>
      </c>
      <c r="V33" s="181">
        <f>(U33-Q33)/Q33</f>
        <v>0.28430772998432791</v>
      </c>
      <c r="W33" s="180">
        <f>S33-Q33</f>
        <v>-47859</v>
      </c>
    </row>
    <row r="34" spans="1:26">
      <c r="A34" s="160" t="s">
        <v>614</v>
      </c>
      <c r="B34" s="160" t="s">
        <v>180</v>
      </c>
      <c r="E34" s="165">
        <v>-14975.05</v>
      </c>
      <c r="G34" s="165">
        <v>-15118.46</v>
      </c>
      <c r="H34" s="165"/>
      <c r="I34" s="165">
        <v>-16070.82</v>
      </c>
      <c r="J34" s="165"/>
      <c r="K34" s="165">
        <v>-18077.3</v>
      </c>
      <c r="L34" s="165"/>
      <c r="M34" s="165">
        <v>-18323.32</v>
      </c>
      <c r="N34" s="165">
        <v>-18631.86</v>
      </c>
      <c r="O34" s="162">
        <v>-22924.06</v>
      </c>
      <c r="P34" s="162">
        <v>-38756.11</v>
      </c>
      <c r="Q34" s="162">
        <v>-40000</v>
      </c>
      <c r="R34" s="162"/>
      <c r="S34" s="162">
        <v>-43052.07</v>
      </c>
      <c r="U34" s="162">
        <v>-50000</v>
      </c>
      <c r="V34" s="181">
        <f>(U34-Q34)/Q34</f>
        <v>0.25</v>
      </c>
      <c r="W34" s="180">
        <f>S34-Q34</f>
        <v>-3052.0699999999997</v>
      </c>
      <c r="X34" s="189"/>
      <c r="Z34" s="181"/>
    </row>
    <row r="35" spans="1:26">
      <c r="A35" s="160" t="s">
        <v>490</v>
      </c>
      <c r="B35" s="160" t="s">
        <v>357</v>
      </c>
      <c r="E35" s="165">
        <v>34247.879999999997</v>
      </c>
      <c r="G35" s="165">
        <v>26911.97</v>
      </c>
      <c r="H35" s="165"/>
      <c r="I35" s="165">
        <v>27246.07</v>
      </c>
      <c r="J35" s="165"/>
      <c r="K35" s="165">
        <v>31138.11</v>
      </c>
      <c r="L35" s="165"/>
      <c r="M35" s="165">
        <v>49157.21</v>
      </c>
      <c r="N35" s="165">
        <v>34647.379999999997</v>
      </c>
      <c r="O35" s="162">
        <v>32679.91</v>
      </c>
      <c r="P35" s="162">
        <v>22561.54</v>
      </c>
      <c r="Q35" s="162">
        <v>19000</v>
      </c>
      <c r="R35" s="162"/>
      <c r="S35" s="162">
        <v>22000</v>
      </c>
      <c r="U35" s="162">
        <v>20000</v>
      </c>
      <c r="V35" s="181">
        <f>(U35-Q35)/Q35</f>
        <v>5.2631578947368418E-2</v>
      </c>
      <c r="W35" s="180">
        <f>S35-Q35</f>
        <v>3000</v>
      </c>
      <c r="X35" s="189"/>
    </row>
    <row r="36" spans="1:26">
      <c r="A36" s="160" t="s">
        <v>491</v>
      </c>
      <c r="B36" s="160" t="s">
        <v>465</v>
      </c>
      <c r="E36" s="165">
        <v>22665.68</v>
      </c>
      <c r="G36" s="165">
        <v>20298.25</v>
      </c>
      <c r="H36" s="165"/>
      <c r="I36" s="165">
        <v>20514.759999999998</v>
      </c>
      <c r="J36" s="165"/>
      <c r="K36" s="165">
        <v>21798.22</v>
      </c>
      <c r="L36" s="165"/>
      <c r="M36" s="165">
        <v>26284</v>
      </c>
      <c r="N36" s="165">
        <v>22272.59</v>
      </c>
      <c r="O36" s="162">
        <v>23464.36</v>
      </c>
      <c r="P36" s="162">
        <v>26953.73</v>
      </c>
      <c r="Q36" s="162">
        <v>24000</v>
      </c>
      <c r="R36" s="162"/>
      <c r="S36" s="162">
        <v>16000</v>
      </c>
      <c r="U36" s="162">
        <v>16000</v>
      </c>
      <c r="V36" s="181">
        <f>(U36-Q36)/Q36</f>
        <v>-0.33333333333333331</v>
      </c>
      <c r="W36" s="180">
        <f>S36-Q36</f>
        <v>-8000</v>
      </c>
    </row>
    <row r="37" spans="1:26" ht="15.75">
      <c r="B37" s="188" t="s">
        <v>100</v>
      </c>
      <c r="C37" s="292"/>
      <c r="D37" s="285"/>
      <c r="E37" s="287">
        <f>SUM(E33:E36)</f>
        <v>724730.85</v>
      </c>
      <c r="F37" s="285"/>
      <c r="G37" s="287">
        <f>SUM(G33:G36)</f>
        <v>764585.94000000006</v>
      </c>
      <c r="H37" s="287"/>
      <c r="I37" s="287">
        <f>SUM(I33:I36)</f>
        <v>764512.77</v>
      </c>
      <c r="J37" s="287"/>
      <c r="K37" s="287">
        <f>SUM(K33:K36)</f>
        <v>891816.94</v>
      </c>
      <c r="L37" s="287"/>
      <c r="M37" s="287">
        <f t="shared" ref="M37:U37" si="19">SUM(M33:M36)</f>
        <v>886339.16</v>
      </c>
      <c r="N37" s="287">
        <f t="shared" si="19"/>
        <v>879339.64</v>
      </c>
      <c r="O37" s="285">
        <f t="shared" si="19"/>
        <v>1027641.7999999999</v>
      </c>
      <c r="P37" s="333">
        <f>SUM(P33:P36)</f>
        <v>1277095.42</v>
      </c>
      <c r="Q37" s="333">
        <f>SUM(Q33:Q36)</f>
        <v>1423999</v>
      </c>
      <c r="R37" s="333">
        <f t="shared" si="19"/>
        <v>0</v>
      </c>
      <c r="S37" s="333">
        <f t="shared" si="19"/>
        <v>1368087.93</v>
      </c>
      <c r="T37" s="333">
        <f t="shared" si="19"/>
        <v>0</v>
      </c>
      <c r="U37" s="333">
        <f t="shared" si="19"/>
        <v>1811000</v>
      </c>
      <c r="V37" s="384">
        <f>(U37-Q37)/Q37</f>
        <v>0.27177055601864891</v>
      </c>
      <c r="W37" s="192">
        <f>SUM(W33:W36)</f>
        <v>-55911.07</v>
      </c>
    </row>
    <row r="38" spans="1:26">
      <c r="E38" s="165"/>
      <c r="G38" s="165"/>
      <c r="H38" s="165"/>
      <c r="I38" s="165"/>
      <c r="J38" s="165"/>
      <c r="K38" s="165"/>
      <c r="L38" s="165"/>
      <c r="M38" s="165"/>
      <c r="N38" s="165"/>
      <c r="Q38" s="162"/>
      <c r="R38" s="162"/>
      <c r="S38" s="162"/>
      <c r="U38" s="162"/>
      <c r="W38" s="180"/>
    </row>
    <row r="39" spans="1:26">
      <c r="A39" s="160" t="s">
        <v>214</v>
      </c>
      <c r="B39" s="160" t="s">
        <v>358</v>
      </c>
      <c r="E39" s="165">
        <v>373392.07</v>
      </c>
      <c r="G39" s="165">
        <v>388885.26</v>
      </c>
      <c r="H39" s="165"/>
      <c r="I39" s="165">
        <v>348388.43</v>
      </c>
      <c r="J39" s="165"/>
      <c r="K39" s="165">
        <v>376391.28</v>
      </c>
      <c r="L39" s="165"/>
      <c r="M39" s="165">
        <v>435251.37</v>
      </c>
      <c r="N39" s="165">
        <v>445099.26</v>
      </c>
      <c r="O39" s="162">
        <v>789806.67</v>
      </c>
      <c r="P39" s="162">
        <v>1626321.9</v>
      </c>
      <c r="Q39" s="162">
        <v>1650000</v>
      </c>
      <c r="R39" s="162"/>
      <c r="S39" s="162">
        <v>1700000</v>
      </c>
      <c r="U39" s="162">
        <v>1700000</v>
      </c>
      <c r="V39" s="181">
        <f>(U39-Q39)/Q39</f>
        <v>3.0303030303030304E-2</v>
      </c>
      <c r="W39" s="180">
        <f>S39-Q39</f>
        <v>50000</v>
      </c>
    </row>
    <row r="40" spans="1:26" ht="15.75">
      <c r="B40" s="188" t="s">
        <v>101</v>
      </c>
      <c r="C40" s="292"/>
      <c r="D40" s="285"/>
      <c r="E40" s="287">
        <f>SUM(E39)</f>
        <v>373392.07</v>
      </c>
      <c r="F40" s="285"/>
      <c r="G40" s="287">
        <f>SUM(G39)</f>
        <v>388885.26</v>
      </c>
      <c r="H40" s="287"/>
      <c r="I40" s="287">
        <f>SUM(I39)</f>
        <v>348388.43</v>
      </c>
      <c r="J40" s="287"/>
      <c r="K40" s="287">
        <f>SUM(K39)</f>
        <v>376391.28</v>
      </c>
      <c r="L40" s="287"/>
      <c r="M40" s="287">
        <f t="shared" ref="M40:U40" si="20">SUM(M39)</f>
        <v>435251.37</v>
      </c>
      <c r="N40" s="287">
        <f t="shared" si="20"/>
        <v>445099.26</v>
      </c>
      <c r="O40" s="285">
        <f t="shared" si="20"/>
        <v>789806.67</v>
      </c>
      <c r="P40" s="333">
        <f>SUM(P39)</f>
        <v>1626321.9</v>
      </c>
      <c r="Q40" s="333">
        <f t="shared" si="20"/>
        <v>1650000</v>
      </c>
      <c r="R40" s="333">
        <f t="shared" si="20"/>
        <v>0</v>
      </c>
      <c r="S40" s="333">
        <f t="shared" si="20"/>
        <v>1700000</v>
      </c>
      <c r="T40" s="333">
        <f t="shared" si="20"/>
        <v>0</v>
      </c>
      <c r="U40" s="333">
        <f t="shared" si="20"/>
        <v>1700000</v>
      </c>
      <c r="V40" s="384">
        <f>(U40-Q40)/Q40</f>
        <v>3.0303030303030304E-2</v>
      </c>
      <c r="W40" s="190">
        <f>SUM(W39)</f>
        <v>50000</v>
      </c>
    </row>
    <row r="41" spans="1:26" ht="15.75">
      <c r="B41" s="188"/>
      <c r="C41" s="292"/>
      <c r="D41" s="292"/>
      <c r="E41" s="193"/>
      <c r="F41" s="292"/>
      <c r="G41" s="193"/>
      <c r="H41" s="193"/>
      <c r="I41" s="193"/>
      <c r="J41" s="193"/>
      <c r="K41" s="193"/>
      <c r="L41" s="193"/>
      <c r="M41" s="193"/>
      <c r="N41" s="193"/>
      <c r="O41" s="391"/>
      <c r="P41" s="391"/>
      <c r="Q41" s="292"/>
      <c r="R41" s="292"/>
      <c r="S41" s="292"/>
      <c r="T41" s="292"/>
      <c r="U41" s="292"/>
      <c r="W41" s="180"/>
    </row>
    <row r="42" spans="1:26">
      <c r="A42" s="160" t="s">
        <v>494</v>
      </c>
      <c r="B42" s="160" t="s">
        <v>365</v>
      </c>
      <c r="E42" s="165">
        <v>47462.33</v>
      </c>
      <c r="G42" s="165">
        <v>61013.21</v>
      </c>
      <c r="H42" s="165"/>
      <c r="I42" s="165">
        <v>62690.12</v>
      </c>
      <c r="J42" s="165"/>
      <c r="K42" s="165">
        <v>62359.51</v>
      </c>
      <c r="L42" s="165"/>
      <c r="M42" s="165">
        <v>64375.92</v>
      </c>
      <c r="N42" s="165">
        <v>67719.16</v>
      </c>
      <c r="O42" s="162">
        <v>56158.239999999998</v>
      </c>
      <c r="P42" s="162">
        <v>62762.02</v>
      </c>
      <c r="Q42" s="162">
        <v>30000</v>
      </c>
      <c r="R42" s="162"/>
      <c r="S42" s="162">
        <v>44000</v>
      </c>
      <c r="U42" s="162">
        <v>40000</v>
      </c>
      <c r="V42" s="181">
        <f>(U42-Q42)/Q42</f>
        <v>0.33333333333333331</v>
      </c>
      <c r="W42" s="180">
        <f>S42-Q42</f>
        <v>14000</v>
      </c>
    </row>
    <row r="43" spans="1:26">
      <c r="A43" s="160" t="s">
        <v>495</v>
      </c>
      <c r="B43" s="160" t="s">
        <v>366</v>
      </c>
      <c r="E43" s="165">
        <v>22282.07</v>
      </c>
      <c r="G43" s="165">
        <v>14847.36</v>
      </c>
      <c r="H43" s="165"/>
      <c r="I43" s="165">
        <v>13212.09</v>
      </c>
      <c r="J43" s="165"/>
      <c r="K43" s="165">
        <v>17252.009999999998</v>
      </c>
      <c r="L43" s="165"/>
      <c r="M43" s="165">
        <v>23232.49</v>
      </c>
      <c r="N43" s="165">
        <v>31490.61</v>
      </c>
      <c r="O43" s="162">
        <v>14931.58</v>
      </c>
      <c r="P43" s="162">
        <v>39694.86</v>
      </c>
      <c r="Q43" s="162">
        <v>40000</v>
      </c>
      <c r="R43" s="162"/>
      <c r="S43" s="162">
        <v>46000</v>
      </c>
      <c r="U43" s="162">
        <v>46000</v>
      </c>
      <c r="V43" s="181">
        <f>(U43-Q43)/Q43</f>
        <v>0.15</v>
      </c>
      <c r="W43" s="180">
        <f>S43-Q43</f>
        <v>6000</v>
      </c>
    </row>
    <row r="44" spans="1:26">
      <c r="A44" s="160" t="s">
        <v>496</v>
      </c>
      <c r="B44" s="160" t="s">
        <v>457</v>
      </c>
      <c r="E44" s="165">
        <v>6462.41</v>
      </c>
      <c r="G44" s="165">
        <v>7735.27</v>
      </c>
      <c r="H44" s="165"/>
      <c r="I44" s="165">
        <v>7941.47</v>
      </c>
      <c r="J44" s="165"/>
      <c r="K44" s="165">
        <v>8080.31</v>
      </c>
      <c r="L44" s="165"/>
      <c r="M44" s="165">
        <v>9215.49</v>
      </c>
      <c r="N44" s="165">
        <v>9783.89</v>
      </c>
      <c r="O44" s="162">
        <v>10558.06</v>
      </c>
      <c r="P44" s="162">
        <v>16870.09</v>
      </c>
      <c r="Q44" s="162">
        <v>16000</v>
      </c>
      <c r="R44" s="162"/>
      <c r="S44" s="162">
        <v>18000</v>
      </c>
      <c r="U44" s="162">
        <v>18000</v>
      </c>
      <c r="V44" s="181">
        <f>(U44-Q44)/Q44</f>
        <v>0.125</v>
      </c>
      <c r="W44" s="180">
        <f>S44-Q44</f>
        <v>2000</v>
      </c>
    </row>
    <row r="45" spans="1:26">
      <c r="A45" s="160" t="s">
        <v>1420</v>
      </c>
      <c r="B45" s="160" t="s">
        <v>203</v>
      </c>
      <c r="E45" s="165">
        <v>11427.76</v>
      </c>
      <c r="G45" s="165">
        <v>14170.11</v>
      </c>
      <c r="H45" s="165"/>
      <c r="I45" s="165">
        <v>15919.56</v>
      </c>
      <c r="J45" s="165"/>
      <c r="K45" s="165">
        <v>15385.11</v>
      </c>
      <c r="L45" s="165"/>
      <c r="M45" s="165">
        <v>16406.810000000001</v>
      </c>
      <c r="N45" s="165">
        <v>17304.07</v>
      </c>
      <c r="O45" s="162">
        <v>19762.13</v>
      </c>
      <c r="P45" s="162">
        <v>30510.66</v>
      </c>
      <c r="Q45" s="162">
        <v>32000</v>
      </c>
      <c r="R45" s="162"/>
      <c r="S45" s="162">
        <v>31500</v>
      </c>
      <c r="U45" s="162">
        <v>31500</v>
      </c>
      <c r="V45" s="181">
        <f>(U45-Q45)/Q45</f>
        <v>-1.5625E-2</v>
      </c>
      <c r="W45" s="180">
        <f>S45-Q45</f>
        <v>-500</v>
      </c>
    </row>
    <row r="46" spans="1:26" hidden="1">
      <c r="A46" s="160" t="s">
        <v>1190</v>
      </c>
      <c r="B46" s="160" t="s">
        <v>1191</v>
      </c>
      <c r="E46" s="165">
        <v>11427.76</v>
      </c>
      <c r="G46" s="165">
        <v>14170.11</v>
      </c>
      <c r="H46" s="165"/>
      <c r="I46" s="165">
        <v>15919.56</v>
      </c>
      <c r="J46" s="165"/>
      <c r="K46" s="165">
        <v>15385.11</v>
      </c>
      <c r="L46" s="165"/>
      <c r="M46" s="165">
        <v>16406.810000000001</v>
      </c>
      <c r="N46" s="165">
        <v>17304.07</v>
      </c>
      <c r="O46" s="162">
        <v>19762.13</v>
      </c>
      <c r="P46" s="162">
        <v>0</v>
      </c>
      <c r="Q46" s="162">
        <v>0</v>
      </c>
      <c r="R46" s="162"/>
      <c r="S46" s="162">
        <v>0</v>
      </c>
      <c r="U46" s="162">
        <v>0</v>
      </c>
      <c r="V46" s="181">
        <v>0</v>
      </c>
      <c r="W46" s="180">
        <f>S46-Q46</f>
        <v>0</v>
      </c>
    </row>
    <row r="47" spans="1:26" ht="15.75">
      <c r="B47" s="188" t="s">
        <v>148</v>
      </c>
      <c r="C47" s="292"/>
      <c r="D47" s="285"/>
      <c r="E47" s="287">
        <f>SUM(E42:E45)</f>
        <v>87634.569999999992</v>
      </c>
      <c r="F47" s="285"/>
      <c r="G47" s="287">
        <f>SUM(G42:G45)</f>
        <v>97765.950000000012</v>
      </c>
      <c r="H47" s="287"/>
      <c r="I47" s="287">
        <f>SUM(I42:I45)</f>
        <v>99763.24</v>
      </c>
      <c r="J47" s="287"/>
      <c r="K47" s="287">
        <f>SUM(K42:K45)</f>
        <v>103076.94</v>
      </c>
      <c r="L47" s="287"/>
      <c r="M47" s="287">
        <f>SUM(M42:M45)</f>
        <v>113230.71</v>
      </c>
      <c r="N47" s="287">
        <f>SUM(N42:N45)</f>
        <v>126297.73000000001</v>
      </c>
      <c r="O47" s="285">
        <f>SUM(O42:O45)</f>
        <v>101410.01</v>
      </c>
      <c r="P47" s="333">
        <f t="shared" ref="P47:U47" si="21">SUM(P42:P46)</f>
        <v>149837.63</v>
      </c>
      <c r="Q47" s="333">
        <f t="shared" si="21"/>
        <v>118000</v>
      </c>
      <c r="R47" s="333">
        <f t="shared" si="21"/>
        <v>0</v>
      </c>
      <c r="S47" s="333">
        <f t="shared" si="21"/>
        <v>139500</v>
      </c>
      <c r="T47" s="333">
        <f t="shared" si="21"/>
        <v>0</v>
      </c>
      <c r="U47" s="333">
        <f t="shared" si="21"/>
        <v>135500</v>
      </c>
      <c r="V47" s="384">
        <f>(U47-Q47)/Q47</f>
        <v>0.14830508474576271</v>
      </c>
      <c r="W47" s="190">
        <f>SUM(W42:W45)</f>
        <v>21500</v>
      </c>
    </row>
    <row r="48" spans="1:26">
      <c r="E48" s="165"/>
      <c r="G48" s="165"/>
      <c r="H48" s="165"/>
      <c r="I48" s="165"/>
      <c r="J48" s="165"/>
      <c r="K48" s="165"/>
      <c r="L48" s="165"/>
      <c r="M48" s="165"/>
      <c r="N48" s="165"/>
      <c r="Q48" s="162"/>
      <c r="R48" s="162"/>
      <c r="S48" s="162"/>
      <c r="U48" s="162"/>
      <c r="W48" s="180"/>
    </row>
    <row r="49" spans="1:24">
      <c r="A49" s="160" t="s">
        <v>492</v>
      </c>
      <c r="B49" s="160" t="s">
        <v>244</v>
      </c>
      <c r="E49" s="165">
        <v>406154.49</v>
      </c>
      <c r="G49" s="165">
        <v>366200.15</v>
      </c>
      <c r="H49" s="165"/>
      <c r="I49" s="165">
        <v>386735.49</v>
      </c>
      <c r="J49" s="165"/>
      <c r="K49" s="165">
        <v>387305.8</v>
      </c>
      <c r="L49" s="165"/>
      <c r="M49" s="165">
        <v>466774.8</v>
      </c>
      <c r="N49" s="165">
        <v>463047.56</v>
      </c>
      <c r="O49" s="162">
        <v>406534.3</v>
      </c>
      <c r="P49" s="162">
        <v>723461.36</v>
      </c>
      <c r="Q49" s="162">
        <v>545000</v>
      </c>
      <c r="R49" s="162"/>
      <c r="S49" s="162">
        <v>545000</v>
      </c>
      <c r="U49" s="162">
        <v>545000</v>
      </c>
      <c r="V49" s="181">
        <f>(U49-Q49)/Q49</f>
        <v>0</v>
      </c>
      <c r="W49" s="180">
        <f t="shared" ref="W49:W58" si="22">S49-Q49</f>
        <v>0</v>
      </c>
    </row>
    <row r="50" spans="1:24">
      <c r="A50" s="160" t="s">
        <v>153</v>
      </c>
      <c r="B50" s="160" t="s">
        <v>193</v>
      </c>
      <c r="E50" s="165">
        <v>21547.02</v>
      </c>
      <c r="G50" s="165">
        <v>18168.89</v>
      </c>
      <c r="H50" s="165"/>
      <c r="I50" s="165">
        <v>21920.98</v>
      </c>
      <c r="J50" s="165"/>
      <c r="K50" s="165">
        <v>21482</v>
      </c>
      <c r="L50" s="165"/>
      <c r="M50" s="165">
        <v>26551</v>
      </c>
      <c r="N50" s="165">
        <v>27088.5</v>
      </c>
      <c r="O50" s="162">
        <v>19176.7</v>
      </c>
      <c r="P50" s="162">
        <v>29155.3</v>
      </c>
      <c r="Q50" s="162">
        <v>29500</v>
      </c>
      <c r="R50" s="162"/>
      <c r="S50" s="162">
        <v>20000</v>
      </c>
      <c r="U50" s="162">
        <v>20000</v>
      </c>
      <c r="V50" s="181">
        <f>(U50-Q50)/Q50</f>
        <v>-0.32203389830508472</v>
      </c>
      <c r="W50" s="180">
        <f t="shared" si="22"/>
        <v>-9500</v>
      </c>
      <c r="X50" s="194"/>
    </row>
    <row r="51" spans="1:24">
      <c r="A51" s="160" t="s">
        <v>1307</v>
      </c>
      <c r="B51" s="160" t="s">
        <v>1308</v>
      </c>
      <c r="E51" s="165"/>
      <c r="G51" s="165"/>
      <c r="H51" s="165"/>
      <c r="I51" s="165"/>
      <c r="J51" s="165"/>
      <c r="K51" s="165"/>
      <c r="L51" s="165"/>
      <c r="M51" s="165"/>
      <c r="N51" s="165"/>
      <c r="O51" s="162"/>
      <c r="P51" s="162">
        <v>32949.9</v>
      </c>
      <c r="Q51" s="162">
        <v>30000</v>
      </c>
      <c r="R51" s="162"/>
      <c r="S51" s="162">
        <v>20000</v>
      </c>
      <c r="U51" s="162">
        <v>20000</v>
      </c>
      <c r="V51" s="161">
        <f>(U51-Q51)/Q51</f>
        <v>-0.33333333333333331</v>
      </c>
      <c r="W51" s="180"/>
      <c r="X51" s="194"/>
    </row>
    <row r="52" spans="1:24">
      <c r="A52" s="160" t="s">
        <v>1309</v>
      </c>
      <c r="B52" s="160" t="s">
        <v>1310</v>
      </c>
      <c r="E52" s="165"/>
      <c r="G52" s="165"/>
      <c r="H52" s="165"/>
      <c r="I52" s="165"/>
      <c r="J52" s="165"/>
      <c r="K52" s="165"/>
      <c r="L52" s="165"/>
      <c r="M52" s="165"/>
      <c r="N52" s="165"/>
      <c r="O52" s="162"/>
      <c r="P52" s="162">
        <v>658.5</v>
      </c>
      <c r="Q52" s="162">
        <v>650</v>
      </c>
      <c r="R52" s="162"/>
      <c r="S52" s="162">
        <v>400</v>
      </c>
      <c r="U52" s="162">
        <v>400</v>
      </c>
      <c r="V52" s="161">
        <f>(U52-Q52)/Q52</f>
        <v>-0.38461538461538464</v>
      </c>
      <c r="W52" s="180"/>
      <c r="X52" s="194"/>
    </row>
    <row r="53" spans="1:24" hidden="1">
      <c r="A53" s="160" t="s">
        <v>1108</v>
      </c>
      <c r="B53" s="160" t="s">
        <v>1109</v>
      </c>
      <c r="E53" s="165">
        <v>1683.24</v>
      </c>
      <c r="G53" s="165">
        <v>1726.5</v>
      </c>
      <c r="H53" s="165"/>
      <c r="I53" s="165">
        <v>1813.5</v>
      </c>
      <c r="J53" s="165"/>
      <c r="K53" s="165">
        <v>1444.5</v>
      </c>
      <c r="L53" s="165"/>
      <c r="M53" s="165">
        <v>1611</v>
      </c>
      <c r="N53" s="165">
        <v>1467</v>
      </c>
      <c r="O53" s="162">
        <v>30</v>
      </c>
      <c r="P53" s="162"/>
      <c r="Q53" s="162"/>
      <c r="R53" s="162"/>
      <c r="S53" s="162"/>
      <c r="U53" s="162"/>
      <c r="V53" s="181">
        <v>0</v>
      </c>
      <c r="W53" s="180">
        <f>S53-Q53</f>
        <v>0</v>
      </c>
    </row>
    <row r="54" spans="1:24">
      <c r="A54" s="160" t="s">
        <v>493</v>
      </c>
      <c r="B54" s="160" t="s">
        <v>194</v>
      </c>
      <c r="E54" s="165">
        <v>1683.24</v>
      </c>
      <c r="G54" s="165">
        <v>1726.5</v>
      </c>
      <c r="H54" s="165"/>
      <c r="I54" s="165">
        <v>1813.5</v>
      </c>
      <c r="J54" s="165"/>
      <c r="K54" s="165">
        <v>1444.5</v>
      </c>
      <c r="L54" s="165"/>
      <c r="M54" s="165">
        <v>1611</v>
      </c>
      <c r="N54" s="165">
        <v>1467</v>
      </c>
      <c r="O54" s="162">
        <v>1229.5</v>
      </c>
      <c r="P54" s="162">
        <v>257.10000000000002</v>
      </c>
      <c r="Q54" s="162">
        <v>250</v>
      </c>
      <c r="R54" s="162"/>
      <c r="S54" s="162">
        <v>200</v>
      </c>
      <c r="U54" s="162">
        <v>200</v>
      </c>
      <c r="V54" s="180">
        <f t="shared" ref="V54:V59" si="23">(U54-Q54)/Q54</f>
        <v>-0.2</v>
      </c>
      <c r="W54" s="180">
        <f t="shared" si="22"/>
        <v>-50</v>
      </c>
    </row>
    <row r="55" spans="1:24">
      <c r="A55" s="160" t="s">
        <v>195</v>
      </c>
      <c r="B55" s="160" t="s">
        <v>196</v>
      </c>
      <c r="E55" s="165">
        <v>15603.27</v>
      </c>
      <c r="G55" s="165">
        <v>13337.01</v>
      </c>
      <c r="H55" s="165"/>
      <c r="I55" s="165">
        <v>16256.73</v>
      </c>
      <c r="J55" s="165"/>
      <c r="K55" s="165">
        <v>15954</v>
      </c>
      <c r="L55" s="165"/>
      <c r="M55" s="165">
        <v>19768</v>
      </c>
      <c r="N55" s="165">
        <v>20267.43</v>
      </c>
      <c r="O55" s="162">
        <v>14339.4</v>
      </c>
      <c r="P55" s="162">
        <v>34468</v>
      </c>
      <c r="Q55" s="162">
        <v>35000</v>
      </c>
      <c r="R55" s="162"/>
      <c r="S55" s="162">
        <v>22000</v>
      </c>
      <c r="U55" s="162">
        <v>22000</v>
      </c>
      <c r="V55" s="181">
        <f t="shared" si="23"/>
        <v>-0.37142857142857144</v>
      </c>
      <c r="W55" s="180">
        <f t="shared" si="22"/>
        <v>-13000</v>
      </c>
    </row>
    <row r="56" spans="1:24">
      <c r="A56" s="160" t="s">
        <v>197</v>
      </c>
      <c r="B56" s="160" t="s">
        <v>198</v>
      </c>
      <c r="E56" s="165">
        <v>2010</v>
      </c>
      <c r="G56" s="165">
        <v>950</v>
      </c>
      <c r="H56" s="165"/>
      <c r="I56" s="165">
        <v>3112</v>
      </c>
      <c r="J56" s="165"/>
      <c r="K56" s="165">
        <v>2145</v>
      </c>
      <c r="L56" s="165"/>
      <c r="M56" s="165">
        <v>1725</v>
      </c>
      <c r="N56" s="165">
        <v>2780.8</v>
      </c>
      <c r="O56" s="162">
        <v>4826.8</v>
      </c>
      <c r="P56" s="162">
        <v>5705</v>
      </c>
      <c r="Q56" s="162">
        <v>5200</v>
      </c>
      <c r="R56" s="162"/>
      <c r="S56" s="162">
        <v>3700</v>
      </c>
      <c r="U56" s="162">
        <v>3700</v>
      </c>
      <c r="V56" s="181">
        <f t="shared" si="23"/>
        <v>-0.28846153846153844</v>
      </c>
      <c r="W56" s="180">
        <f t="shared" si="22"/>
        <v>-1500</v>
      </c>
    </row>
    <row r="57" spans="1:24">
      <c r="A57" s="160" t="s">
        <v>199</v>
      </c>
      <c r="B57" s="160" t="s">
        <v>1409</v>
      </c>
      <c r="E57" s="165">
        <v>28116.75</v>
      </c>
      <c r="G57" s="165">
        <v>24384</v>
      </c>
      <c r="H57" s="165"/>
      <c r="I57" s="165">
        <v>31700.78</v>
      </c>
      <c r="J57" s="165"/>
      <c r="K57" s="165">
        <v>34672.6</v>
      </c>
      <c r="L57" s="165"/>
      <c r="M57" s="165">
        <v>38432.199999999997</v>
      </c>
      <c r="N57" s="165">
        <v>39356.300000000003</v>
      </c>
      <c r="O57" s="162">
        <v>20335.099999999999</v>
      </c>
      <c r="P57" s="162">
        <v>50952.9</v>
      </c>
      <c r="Q57" s="162">
        <v>50000</v>
      </c>
      <c r="R57" s="162"/>
      <c r="S57" s="162">
        <v>30000</v>
      </c>
      <c r="U57" s="162">
        <v>30000</v>
      </c>
      <c r="V57" s="181">
        <f t="shared" si="23"/>
        <v>-0.4</v>
      </c>
      <c r="W57" s="180">
        <f t="shared" si="22"/>
        <v>-20000</v>
      </c>
    </row>
    <row r="58" spans="1:24">
      <c r="A58" s="160" t="s">
        <v>1315</v>
      </c>
      <c r="B58" s="160" t="s">
        <v>1316</v>
      </c>
      <c r="E58" s="165"/>
      <c r="G58" s="165"/>
      <c r="H58" s="165"/>
      <c r="I58" s="165"/>
      <c r="J58" s="165"/>
      <c r="K58" s="165"/>
      <c r="L58" s="165"/>
      <c r="M58" s="165"/>
      <c r="N58" s="165"/>
      <c r="O58" s="162"/>
      <c r="P58" s="162">
        <v>0</v>
      </c>
      <c r="Q58" s="162">
        <v>0</v>
      </c>
      <c r="R58" s="162"/>
      <c r="S58" s="162">
        <v>0</v>
      </c>
      <c r="U58" s="162">
        <v>0</v>
      </c>
      <c r="V58" s="181" t="e">
        <f t="shared" si="23"/>
        <v>#DIV/0!</v>
      </c>
      <c r="W58" s="180">
        <f t="shared" si="22"/>
        <v>0</v>
      </c>
    </row>
    <row r="59" spans="1:24" ht="15.75">
      <c r="B59" s="188" t="s">
        <v>103</v>
      </c>
      <c r="C59" s="292"/>
      <c r="D59" s="285"/>
      <c r="E59" s="287">
        <f>SUM(E49:E57)</f>
        <v>476798.01</v>
      </c>
      <c r="F59" s="285"/>
      <c r="G59" s="287">
        <f>SUM(G49:G57)</f>
        <v>426493.05000000005</v>
      </c>
      <c r="H59" s="287"/>
      <c r="I59" s="287">
        <f>SUM(I49:I57)</f>
        <v>463352.98</v>
      </c>
      <c r="J59" s="287"/>
      <c r="K59" s="287">
        <f>SUM(K49:K57)</f>
        <v>464448.39999999997</v>
      </c>
      <c r="L59" s="287"/>
      <c r="M59" s="287">
        <f t="shared" ref="M59:T59" si="24">SUM(M49:M57)</f>
        <v>556473</v>
      </c>
      <c r="N59" s="287">
        <f t="shared" si="24"/>
        <v>555474.59</v>
      </c>
      <c r="O59" s="285">
        <f t="shared" si="24"/>
        <v>466471.8</v>
      </c>
      <c r="P59" s="333">
        <f>SUM(P49:P58)</f>
        <v>877608.06</v>
      </c>
      <c r="Q59" s="333">
        <f>SUM(Q49:Q58)</f>
        <v>695600</v>
      </c>
      <c r="R59" s="333">
        <f t="shared" si="24"/>
        <v>0</v>
      </c>
      <c r="S59" s="333">
        <f>SUM(S49:S58)</f>
        <v>641300</v>
      </c>
      <c r="T59" s="333">
        <f t="shared" si="24"/>
        <v>0</v>
      </c>
      <c r="U59" s="333">
        <f>SUM(U49:U58)</f>
        <v>641300</v>
      </c>
      <c r="V59" s="384">
        <f t="shared" si="23"/>
        <v>-7.8062104657849338E-2</v>
      </c>
      <c r="W59" s="190">
        <f>SUM(W49:W58)</f>
        <v>-44050</v>
      </c>
    </row>
    <row r="60" spans="1:24" ht="15.75">
      <c r="B60" s="188"/>
      <c r="C60" s="292"/>
      <c r="D60" s="292"/>
      <c r="E60" s="193"/>
      <c r="F60" s="292"/>
      <c r="G60" s="193"/>
      <c r="H60" s="193"/>
      <c r="I60" s="193"/>
      <c r="J60" s="193"/>
      <c r="K60" s="193"/>
      <c r="L60" s="193"/>
      <c r="M60" s="193"/>
      <c r="N60" s="193"/>
      <c r="O60" s="391"/>
      <c r="P60" s="391"/>
      <c r="Q60" s="292"/>
      <c r="R60" s="292"/>
      <c r="S60" s="292"/>
      <c r="T60" s="292"/>
      <c r="U60" s="292"/>
      <c r="W60" s="180"/>
    </row>
    <row r="61" spans="1:24">
      <c r="A61" s="160" t="s">
        <v>1421</v>
      </c>
      <c r="B61" s="160" t="s">
        <v>363</v>
      </c>
      <c r="E61" s="165">
        <v>2205.34</v>
      </c>
      <c r="G61" s="165">
        <v>1569.53</v>
      </c>
      <c r="H61" s="165"/>
      <c r="I61" s="165">
        <v>1552.73</v>
      </c>
      <c r="J61" s="165"/>
      <c r="K61" s="165">
        <v>1560</v>
      </c>
      <c r="L61" s="165"/>
      <c r="M61" s="165">
        <v>0</v>
      </c>
      <c r="N61" s="165">
        <v>0</v>
      </c>
      <c r="O61" s="162">
        <v>1605.75</v>
      </c>
      <c r="P61" s="162">
        <v>1583.95</v>
      </c>
      <c r="Q61" s="162">
        <v>1500</v>
      </c>
      <c r="R61" s="162"/>
      <c r="S61" s="162">
        <v>1705.27</v>
      </c>
      <c r="U61" s="162">
        <v>1500</v>
      </c>
      <c r="V61" s="181">
        <f>(U61-Q61)/Q61</f>
        <v>0</v>
      </c>
      <c r="W61" s="180">
        <f t="shared" ref="W61:W75" si="25">S61-Q61</f>
        <v>205.26999999999998</v>
      </c>
    </row>
    <row r="62" spans="1:24" ht="15.75" hidden="1" customHeight="1">
      <c r="A62" s="160" t="s">
        <v>998</v>
      </c>
      <c r="B62" s="160" t="s">
        <v>928</v>
      </c>
      <c r="E62" s="165">
        <v>0</v>
      </c>
      <c r="G62" s="165">
        <v>7975</v>
      </c>
      <c r="H62" s="165"/>
      <c r="I62" s="165">
        <v>0</v>
      </c>
      <c r="J62" s="165"/>
      <c r="K62" s="165">
        <v>6256.06</v>
      </c>
      <c r="L62" s="165"/>
      <c r="M62" s="165">
        <v>17808.990000000002</v>
      </c>
      <c r="N62" s="165">
        <v>0</v>
      </c>
      <c r="O62" s="162">
        <v>0</v>
      </c>
      <c r="P62" s="162"/>
      <c r="Q62" s="162"/>
      <c r="R62" s="162"/>
      <c r="S62" s="162"/>
      <c r="U62" s="162"/>
      <c r="V62" s="181" t="e">
        <f>(U62-Q62)/Q62</f>
        <v>#DIV/0!</v>
      </c>
      <c r="W62" s="180">
        <f t="shared" si="25"/>
        <v>0</v>
      </c>
    </row>
    <row r="63" spans="1:24">
      <c r="A63" s="160" t="s">
        <v>1422</v>
      </c>
      <c r="B63" s="160" t="s">
        <v>1288</v>
      </c>
      <c r="E63" s="165"/>
      <c r="G63" s="165"/>
      <c r="H63" s="165"/>
      <c r="I63" s="165"/>
      <c r="J63" s="165"/>
      <c r="K63" s="165"/>
      <c r="L63" s="165"/>
      <c r="M63" s="165"/>
      <c r="N63" s="165"/>
      <c r="O63" s="162"/>
      <c r="P63" s="162">
        <v>200000</v>
      </c>
      <c r="Q63" s="162">
        <v>0</v>
      </c>
      <c r="R63" s="162"/>
      <c r="S63" s="162">
        <v>0</v>
      </c>
      <c r="U63" s="162">
        <v>0</v>
      </c>
      <c r="V63" s="181">
        <v>0</v>
      </c>
      <c r="W63" s="180">
        <f t="shared" si="25"/>
        <v>0</v>
      </c>
    </row>
    <row r="64" spans="1:24" hidden="1">
      <c r="A64" s="160" t="s">
        <v>1423</v>
      </c>
      <c r="B64" s="160" t="s">
        <v>1311</v>
      </c>
      <c r="E64" s="165"/>
      <c r="G64" s="165"/>
      <c r="H64" s="165"/>
      <c r="I64" s="165"/>
      <c r="J64" s="165"/>
      <c r="K64" s="165"/>
      <c r="L64" s="165"/>
      <c r="M64" s="165"/>
      <c r="N64" s="165"/>
      <c r="O64" s="162"/>
      <c r="P64" s="162"/>
      <c r="Q64" s="162"/>
      <c r="R64" s="162"/>
      <c r="S64" s="162"/>
      <c r="U64" s="162"/>
      <c r="V64" s="181">
        <v>0</v>
      </c>
      <c r="W64" s="180"/>
    </row>
    <row r="65" spans="1:23">
      <c r="A65" s="160" t="s">
        <v>1424</v>
      </c>
      <c r="B65" s="160" t="s">
        <v>963</v>
      </c>
      <c r="E65" s="165">
        <v>0</v>
      </c>
      <c r="G65" s="165">
        <v>7975</v>
      </c>
      <c r="H65" s="165"/>
      <c r="I65" s="165">
        <v>0</v>
      </c>
      <c r="J65" s="165"/>
      <c r="K65" s="165">
        <v>6256.06</v>
      </c>
      <c r="L65" s="165"/>
      <c r="M65" s="165">
        <v>0</v>
      </c>
      <c r="N65" s="165">
        <v>33663.589999999997</v>
      </c>
      <c r="O65" s="162">
        <v>11099.2</v>
      </c>
      <c r="P65" s="162">
        <v>29070.51</v>
      </c>
      <c r="Q65" s="162">
        <v>61998.68</v>
      </c>
      <c r="R65" s="162"/>
      <c r="S65" s="162">
        <v>46000</v>
      </c>
      <c r="U65" s="162">
        <v>71000</v>
      </c>
      <c r="V65" s="181">
        <v>0</v>
      </c>
      <c r="W65" s="180"/>
    </row>
    <row r="66" spans="1:23">
      <c r="A66" s="160" t="s">
        <v>1425</v>
      </c>
      <c r="B66" s="160" t="s">
        <v>1103</v>
      </c>
      <c r="E66" s="165">
        <v>0</v>
      </c>
      <c r="G66" s="165">
        <v>7975</v>
      </c>
      <c r="H66" s="165"/>
      <c r="I66" s="165">
        <v>0</v>
      </c>
      <c r="J66" s="165"/>
      <c r="K66" s="165">
        <v>6256.06</v>
      </c>
      <c r="L66" s="165"/>
      <c r="M66" s="165">
        <v>0</v>
      </c>
      <c r="N66" s="165">
        <v>33834</v>
      </c>
      <c r="O66" s="162">
        <v>14761.85</v>
      </c>
      <c r="P66" s="162">
        <v>30000</v>
      </c>
      <c r="Q66" s="162">
        <v>30000</v>
      </c>
      <c r="R66" s="162"/>
      <c r="S66" s="162">
        <v>30000</v>
      </c>
      <c r="U66" s="162">
        <v>40000</v>
      </c>
      <c r="V66" s="181">
        <v>0</v>
      </c>
      <c r="W66" s="180">
        <f t="shared" si="25"/>
        <v>0</v>
      </c>
    </row>
    <row r="67" spans="1:23">
      <c r="A67" s="160" t="s">
        <v>1426</v>
      </c>
      <c r="B67" s="160" t="s">
        <v>1089</v>
      </c>
      <c r="E67" s="165">
        <v>186210.62</v>
      </c>
      <c r="G67" s="165">
        <v>5537.75</v>
      </c>
      <c r="H67" s="165"/>
      <c r="I67" s="165">
        <v>0</v>
      </c>
      <c r="J67" s="165"/>
      <c r="K67" s="165">
        <v>31535.09</v>
      </c>
      <c r="L67" s="165"/>
      <c r="M67" s="165">
        <v>25483.9</v>
      </c>
      <c r="N67" s="165">
        <v>19852</v>
      </c>
      <c r="O67" s="162">
        <v>107157.79</v>
      </c>
      <c r="P67" s="162">
        <v>59063.040000000001</v>
      </c>
      <c r="Q67" s="162">
        <v>60000</v>
      </c>
      <c r="R67" s="162"/>
      <c r="S67" s="162">
        <v>60000</v>
      </c>
      <c r="U67" s="162">
        <v>60000</v>
      </c>
      <c r="V67" s="181">
        <f>(U67-Q67)/Q67</f>
        <v>0</v>
      </c>
      <c r="W67" s="180">
        <f t="shared" si="25"/>
        <v>0</v>
      </c>
    </row>
    <row r="68" spans="1:23">
      <c r="A68" s="160" t="s">
        <v>1427</v>
      </c>
      <c r="B68" s="160" t="s">
        <v>706</v>
      </c>
      <c r="E68" s="165">
        <v>186210.62</v>
      </c>
      <c r="G68" s="165">
        <v>5537.75</v>
      </c>
      <c r="H68" s="165"/>
      <c r="I68" s="165">
        <v>0</v>
      </c>
      <c r="J68" s="165"/>
      <c r="K68" s="165">
        <v>31535.09</v>
      </c>
      <c r="L68" s="165"/>
      <c r="M68" s="165">
        <v>25483.9</v>
      </c>
      <c r="N68" s="165">
        <v>115336</v>
      </c>
      <c r="O68" s="162">
        <v>0</v>
      </c>
      <c r="P68" s="162">
        <v>0</v>
      </c>
      <c r="Q68" s="162">
        <v>0</v>
      </c>
      <c r="R68" s="162"/>
      <c r="S68" s="162">
        <v>0</v>
      </c>
      <c r="U68" s="162">
        <v>0</v>
      </c>
      <c r="V68" s="181">
        <v>0</v>
      </c>
      <c r="W68" s="180"/>
    </row>
    <row r="69" spans="1:23" hidden="1">
      <c r="A69" s="160" t="s">
        <v>1428</v>
      </c>
      <c r="B69" s="160" t="s">
        <v>1283</v>
      </c>
      <c r="E69" s="165"/>
      <c r="G69" s="165"/>
      <c r="H69" s="165"/>
      <c r="I69" s="165"/>
      <c r="J69" s="165"/>
      <c r="K69" s="165"/>
      <c r="L69" s="165"/>
      <c r="M69" s="165"/>
      <c r="N69" s="165"/>
      <c r="O69" s="162"/>
      <c r="P69" s="162"/>
      <c r="Q69" s="162"/>
      <c r="R69" s="162"/>
      <c r="S69" s="162"/>
      <c r="U69" s="162"/>
      <c r="V69" s="181" t="e">
        <f t="shared" ref="V69:V75" si="26">(U69-Q69)/Q69</f>
        <v>#DIV/0!</v>
      </c>
      <c r="W69" s="180">
        <f t="shared" si="25"/>
        <v>0</v>
      </c>
    </row>
    <row r="70" spans="1:23">
      <c r="A70" s="160" t="s">
        <v>1429</v>
      </c>
      <c r="B70" s="160" t="s">
        <v>1335</v>
      </c>
      <c r="E70" s="165"/>
      <c r="G70" s="165"/>
      <c r="H70" s="165"/>
      <c r="I70" s="165"/>
      <c r="J70" s="165"/>
      <c r="K70" s="165"/>
      <c r="L70" s="165"/>
      <c r="M70" s="165"/>
      <c r="N70" s="165"/>
      <c r="O70" s="162"/>
      <c r="P70" s="162">
        <v>1918.9</v>
      </c>
      <c r="Q70" s="162">
        <v>0</v>
      </c>
      <c r="R70" s="162"/>
      <c r="S70" s="162">
        <v>0</v>
      </c>
      <c r="U70" s="162">
        <v>0</v>
      </c>
      <c r="V70" s="181" t="e">
        <f t="shared" si="26"/>
        <v>#DIV/0!</v>
      </c>
      <c r="W70" s="180">
        <f t="shared" si="25"/>
        <v>0</v>
      </c>
    </row>
    <row r="71" spans="1:23" hidden="1">
      <c r="A71" s="160" t="s">
        <v>1104</v>
      </c>
      <c r="B71" s="160" t="s">
        <v>1105</v>
      </c>
      <c r="E71" s="165">
        <v>186210.62</v>
      </c>
      <c r="G71" s="165">
        <v>5537.75</v>
      </c>
      <c r="H71" s="165"/>
      <c r="I71" s="165">
        <v>0</v>
      </c>
      <c r="J71" s="165"/>
      <c r="K71" s="165">
        <v>31535.09</v>
      </c>
      <c r="L71" s="165"/>
      <c r="M71" s="165">
        <v>25483.9</v>
      </c>
      <c r="N71" s="165">
        <v>115336</v>
      </c>
      <c r="O71" s="162">
        <v>63776.9</v>
      </c>
      <c r="P71" s="162"/>
      <c r="Q71" s="162"/>
      <c r="R71" s="162"/>
      <c r="S71" s="162"/>
      <c r="U71" s="162"/>
      <c r="V71" s="181" t="e">
        <f t="shared" si="26"/>
        <v>#DIV/0!</v>
      </c>
      <c r="W71" s="180">
        <f t="shared" si="25"/>
        <v>0</v>
      </c>
    </row>
    <row r="72" spans="1:23" hidden="1">
      <c r="A72" s="160" t="s">
        <v>998</v>
      </c>
      <c r="B72" s="160" t="s">
        <v>1192</v>
      </c>
      <c r="E72" s="165">
        <v>0</v>
      </c>
      <c r="G72" s="165">
        <v>7975</v>
      </c>
      <c r="H72" s="165"/>
      <c r="I72" s="165">
        <v>0</v>
      </c>
      <c r="J72" s="165"/>
      <c r="K72" s="165">
        <v>6256.06</v>
      </c>
      <c r="L72" s="165"/>
      <c r="M72" s="165">
        <v>17808.990000000002</v>
      </c>
      <c r="N72" s="165">
        <v>6794.95</v>
      </c>
      <c r="O72" s="162">
        <v>5000</v>
      </c>
      <c r="P72" s="162">
        <v>0</v>
      </c>
      <c r="Q72" s="162">
        <v>0</v>
      </c>
      <c r="R72" s="162"/>
      <c r="S72" s="162">
        <v>0</v>
      </c>
      <c r="U72" s="162">
        <v>0</v>
      </c>
      <c r="V72" s="181">
        <v>0</v>
      </c>
      <c r="W72" s="180">
        <f t="shared" si="25"/>
        <v>0</v>
      </c>
    </row>
    <row r="73" spans="1:23" hidden="1">
      <c r="A73" s="160" t="s">
        <v>1106</v>
      </c>
      <c r="B73" s="160" t="s">
        <v>1107</v>
      </c>
      <c r="E73" s="165">
        <v>186210.62</v>
      </c>
      <c r="G73" s="165">
        <v>5537.75</v>
      </c>
      <c r="H73" s="165"/>
      <c r="I73" s="165">
        <v>0</v>
      </c>
      <c r="J73" s="165"/>
      <c r="K73" s="165">
        <v>31535.09</v>
      </c>
      <c r="L73" s="165"/>
      <c r="M73" s="165">
        <v>25483.9</v>
      </c>
      <c r="N73" s="165">
        <v>115336</v>
      </c>
      <c r="O73" s="162">
        <v>24000</v>
      </c>
      <c r="P73" s="162"/>
      <c r="Q73" s="162"/>
      <c r="R73" s="162"/>
      <c r="S73" s="162"/>
      <c r="U73" s="162"/>
      <c r="V73" s="181" t="e">
        <f t="shared" si="26"/>
        <v>#DIV/0!</v>
      </c>
      <c r="W73" s="180">
        <f t="shared" si="25"/>
        <v>0</v>
      </c>
    </row>
    <row r="74" spans="1:23" hidden="1">
      <c r="A74" s="160" t="s">
        <v>999</v>
      </c>
      <c r="B74" s="160" t="s">
        <v>1000</v>
      </c>
      <c r="E74" s="165">
        <v>0</v>
      </c>
      <c r="G74" s="165">
        <v>7975</v>
      </c>
      <c r="H74" s="165"/>
      <c r="I74" s="165">
        <v>0</v>
      </c>
      <c r="J74" s="165"/>
      <c r="K74" s="165">
        <v>6256.06</v>
      </c>
      <c r="L74" s="165"/>
      <c r="M74" s="165">
        <v>17808.990000000002</v>
      </c>
      <c r="N74" s="165">
        <v>0</v>
      </c>
      <c r="O74" s="162">
        <v>1389.38</v>
      </c>
      <c r="P74" s="162"/>
      <c r="Q74" s="162">
        <v>0</v>
      </c>
      <c r="R74" s="162"/>
      <c r="S74" s="162"/>
      <c r="U74" s="162"/>
      <c r="V74" s="181" t="e">
        <f t="shared" si="26"/>
        <v>#DIV/0!</v>
      </c>
      <c r="W74" s="180">
        <f t="shared" si="25"/>
        <v>0</v>
      </c>
    </row>
    <row r="75" spans="1:23" hidden="1">
      <c r="A75" s="160" t="s">
        <v>1289</v>
      </c>
      <c r="B75" s="160" t="s">
        <v>1290</v>
      </c>
      <c r="E75" s="165">
        <v>0</v>
      </c>
      <c r="G75" s="165">
        <v>7975</v>
      </c>
      <c r="H75" s="165"/>
      <c r="I75" s="165">
        <v>0</v>
      </c>
      <c r="J75" s="165"/>
      <c r="K75" s="165">
        <v>6256.06</v>
      </c>
      <c r="L75" s="165"/>
      <c r="M75" s="165">
        <v>0</v>
      </c>
      <c r="N75" s="165">
        <v>33663.589999999997</v>
      </c>
      <c r="O75" s="162">
        <v>11099.2</v>
      </c>
      <c r="P75" s="162">
        <v>0</v>
      </c>
      <c r="Q75" s="162">
        <v>0</v>
      </c>
      <c r="R75" s="162"/>
      <c r="S75" s="162">
        <v>0</v>
      </c>
      <c r="U75" s="162">
        <v>0</v>
      </c>
      <c r="V75" s="181" t="e">
        <f t="shared" si="26"/>
        <v>#DIV/0!</v>
      </c>
      <c r="W75" s="180">
        <f t="shared" si="25"/>
        <v>0</v>
      </c>
    </row>
    <row r="76" spans="1:23" ht="15.75">
      <c r="B76" s="188" t="s">
        <v>149</v>
      </c>
      <c r="D76" s="285"/>
      <c r="E76" s="287">
        <f>SUM(E61:E73)</f>
        <v>747047.82</v>
      </c>
      <c r="F76" s="285"/>
      <c r="G76" s="287">
        <f>SUM(G61:G73)</f>
        <v>55620.53</v>
      </c>
      <c r="H76" s="287"/>
      <c r="I76" s="287">
        <f>SUM(I61:I73)</f>
        <v>1552.73</v>
      </c>
      <c r="J76" s="287"/>
      <c r="K76" s="287">
        <f>SUM(K61:K73)</f>
        <v>152724.6</v>
      </c>
      <c r="L76" s="287"/>
      <c r="M76" s="287">
        <f>SUM(M61:M73)</f>
        <v>137553.58000000002</v>
      </c>
      <c r="N76" s="287">
        <f>SUM(N61:N73)</f>
        <v>440152.54</v>
      </c>
      <c r="O76" s="285">
        <f>SUM(O61:O73)</f>
        <v>227401.49</v>
      </c>
      <c r="P76" s="333">
        <f>SUM(P61:P75)</f>
        <v>321636.40000000002</v>
      </c>
      <c r="Q76" s="333">
        <f>SUM(Q61:R75)</f>
        <v>153498.68</v>
      </c>
      <c r="R76" s="333">
        <f>SUM(R61:R72)</f>
        <v>0</v>
      </c>
      <c r="S76" s="333">
        <f>SUM(S61:S75)</f>
        <v>137705.26999999999</v>
      </c>
      <c r="T76" s="333">
        <f>SUM(T61:T72)</f>
        <v>0</v>
      </c>
      <c r="U76" s="333">
        <f>SUM(U61:U75)</f>
        <v>172500</v>
      </c>
      <c r="V76" s="384">
        <f>(U76-Q76)/Q76</f>
        <v>0.12378816547477807</v>
      </c>
      <c r="W76" s="190">
        <f>SUM(W61:W75)</f>
        <v>205.26999999999998</v>
      </c>
    </row>
    <row r="77" spans="1:23">
      <c r="C77" s="160"/>
      <c r="D77" s="160"/>
      <c r="E77" s="165"/>
      <c r="F77" s="160"/>
      <c r="G77" s="165"/>
      <c r="H77" s="178"/>
      <c r="I77" s="165"/>
      <c r="J77" s="178"/>
      <c r="K77" s="165"/>
      <c r="L77" s="178"/>
      <c r="M77" s="165"/>
      <c r="N77" s="165"/>
      <c r="Q77" s="180"/>
      <c r="R77" s="180"/>
      <c r="S77" s="180"/>
      <c r="T77" s="180"/>
      <c r="U77" s="180"/>
      <c r="W77" s="180"/>
    </row>
    <row r="78" spans="1:23" hidden="1">
      <c r="A78" s="160" t="s">
        <v>1194</v>
      </c>
      <c r="B78" s="160" t="s">
        <v>1195</v>
      </c>
      <c r="E78" s="165">
        <v>8500</v>
      </c>
      <c r="G78" s="165">
        <v>8500</v>
      </c>
      <c r="H78" s="165"/>
      <c r="I78" s="165">
        <v>8500</v>
      </c>
      <c r="J78" s="165"/>
      <c r="K78" s="165">
        <v>8500</v>
      </c>
      <c r="L78" s="165"/>
      <c r="M78" s="165">
        <v>6000</v>
      </c>
      <c r="N78" s="165">
        <v>6000</v>
      </c>
      <c r="O78" s="162">
        <v>6620</v>
      </c>
      <c r="P78" s="179">
        <v>0</v>
      </c>
      <c r="Q78" s="179">
        <v>0</v>
      </c>
      <c r="R78" s="179"/>
      <c r="S78" s="179">
        <v>0</v>
      </c>
      <c r="T78" s="180"/>
      <c r="U78" s="179">
        <v>0</v>
      </c>
      <c r="V78" s="181">
        <v>0</v>
      </c>
      <c r="W78" s="180">
        <f>S78-Q78</f>
        <v>0</v>
      </c>
    </row>
    <row r="79" spans="1:23">
      <c r="A79" s="160" t="s">
        <v>1430</v>
      </c>
      <c r="B79" s="160" t="s">
        <v>22</v>
      </c>
      <c r="E79" s="165">
        <v>8500</v>
      </c>
      <c r="G79" s="165">
        <v>8500</v>
      </c>
      <c r="H79" s="165"/>
      <c r="I79" s="165">
        <v>8500</v>
      </c>
      <c r="J79" s="165"/>
      <c r="K79" s="165">
        <v>8500</v>
      </c>
      <c r="L79" s="165"/>
      <c r="M79" s="165">
        <v>6000</v>
      </c>
      <c r="N79" s="165">
        <v>6000</v>
      </c>
      <c r="O79" s="162">
        <v>6620</v>
      </c>
      <c r="P79" s="179">
        <v>25096</v>
      </c>
      <c r="Q79" s="179">
        <v>28000</v>
      </c>
      <c r="R79" s="179"/>
      <c r="S79" s="179">
        <v>28000</v>
      </c>
      <c r="T79" s="180"/>
      <c r="U79" s="179">
        <v>28000</v>
      </c>
      <c r="V79" s="181">
        <f>(U79-Q79)/Q79</f>
        <v>0</v>
      </c>
      <c r="W79" s="180">
        <f>S79-Q79</f>
        <v>0</v>
      </c>
    </row>
    <row r="80" spans="1:23" ht="15.75">
      <c r="B80" s="188" t="s">
        <v>21</v>
      </c>
      <c r="C80" s="160"/>
      <c r="D80" s="287">
        <f t="shared" ref="D80:K80" si="27">SUM(D79:D79)</f>
        <v>0</v>
      </c>
      <c r="E80" s="287">
        <f t="shared" si="27"/>
        <v>8500</v>
      </c>
      <c r="F80" s="287">
        <f t="shared" si="27"/>
        <v>0</v>
      </c>
      <c r="G80" s="287">
        <f t="shared" si="27"/>
        <v>8500</v>
      </c>
      <c r="H80" s="287">
        <f t="shared" si="27"/>
        <v>0</v>
      </c>
      <c r="I80" s="287">
        <f t="shared" si="27"/>
        <v>8500</v>
      </c>
      <c r="J80" s="287">
        <f t="shared" si="27"/>
        <v>0</v>
      </c>
      <c r="K80" s="287">
        <f t="shared" si="27"/>
        <v>8500</v>
      </c>
      <c r="L80" s="287">
        <f>SUM(L79:L79)</f>
        <v>0</v>
      </c>
      <c r="M80" s="287">
        <f>SUM(M79:M79)</f>
        <v>6000</v>
      </c>
      <c r="N80" s="287">
        <f>SUM(N79:N79)</f>
        <v>6000</v>
      </c>
      <c r="O80" s="285">
        <f>SUM(O79:O79)</f>
        <v>6620</v>
      </c>
      <c r="P80" s="333">
        <f t="shared" ref="P80:U80" si="28">SUM(P78:P79)</f>
        <v>25096</v>
      </c>
      <c r="Q80" s="333">
        <f t="shared" si="28"/>
        <v>28000</v>
      </c>
      <c r="R80" s="333">
        <f t="shared" si="28"/>
        <v>0</v>
      </c>
      <c r="S80" s="333">
        <f t="shared" si="28"/>
        <v>28000</v>
      </c>
      <c r="T80" s="333">
        <f t="shared" si="28"/>
        <v>0</v>
      </c>
      <c r="U80" s="333">
        <f t="shared" si="28"/>
        <v>28000</v>
      </c>
      <c r="V80" s="384">
        <f>(U80-Q80)/Q80</f>
        <v>0</v>
      </c>
      <c r="W80" s="190">
        <f>SUM(W79)</f>
        <v>0</v>
      </c>
    </row>
    <row r="81" spans="1:23" ht="15.75">
      <c r="B81" s="188"/>
      <c r="C81" s="160"/>
      <c r="D81" s="188"/>
      <c r="E81" s="193"/>
      <c r="F81" s="188"/>
      <c r="G81" s="193"/>
      <c r="H81" s="267"/>
      <c r="I81" s="193"/>
      <c r="J81" s="267"/>
      <c r="K81" s="193"/>
      <c r="L81" s="267"/>
      <c r="M81" s="193"/>
      <c r="N81" s="193"/>
      <c r="O81" s="391"/>
      <c r="P81" s="391"/>
      <c r="Q81" s="392"/>
      <c r="R81" s="392"/>
      <c r="S81" s="392"/>
      <c r="T81" s="392"/>
      <c r="U81" s="392"/>
      <c r="W81" s="180"/>
    </row>
    <row r="82" spans="1:23" ht="15.75">
      <c r="A82" s="160" t="s">
        <v>881</v>
      </c>
      <c r="B82" s="160" t="s">
        <v>417</v>
      </c>
      <c r="C82" s="292"/>
      <c r="D82" s="292"/>
      <c r="E82" s="165">
        <v>21448.21</v>
      </c>
      <c r="F82" s="292"/>
      <c r="G82" s="165">
        <v>23412.26</v>
      </c>
      <c r="H82" s="193"/>
      <c r="I82" s="165">
        <v>22087.35</v>
      </c>
      <c r="J82" s="193"/>
      <c r="K82" s="165">
        <v>21945.86</v>
      </c>
      <c r="L82" s="193"/>
      <c r="M82" s="165">
        <v>18420.849999999999</v>
      </c>
      <c r="N82" s="165">
        <v>21232.46</v>
      </c>
      <c r="O82" s="162">
        <v>21232.38</v>
      </c>
      <c r="P82" s="162">
        <v>23765.86</v>
      </c>
      <c r="Q82" s="162">
        <v>22500</v>
      </c>
      <c r="R82" s="162"/>
      <c r="S82" s="162">
        <v>20000</v>
      </c>
      <c r="T82" s="292"/>
      <c r="U82" s="162">
        <v>21000</v>
      </c>
      <c r="V82" s="181">
        <f t="shared" ref="V82:V92" si="29">(U82-Q82)/Q82</f>
        <v>-6.6666666666666666E-2</v>
      </c>
      <c r="W82" s="180">
        <f>S82-Q82</f>
        <v>-2500</v>
      </c>
    </row>
    <row r="83" spans="1:23" ht="15.75" hidden="1">
      <c r="A83" s="160" t="s">
        <v>1167</v>
      </c>
      <c r="B83" s="160" t="s">
        <v>1168</v>
      </c>
      <c r="C83" s="292"/>
      <c r="D83" s="292"/>
      <c r="E83" s="165"/>
      <c r="F83" s="292"/>
      <c r="G83" s="165"/>
      <c r="H83" s="193"/>
      <c r="I83" s="165"/>
      <c r="J83" s="193"/>
      <c r="K83" s="165"/>
      <c r="L83" s="193"/>
      <c r="M83" s="165"/>
      <c r="N83" s="165"/>
      <c r="O83" s="162">
        <v>49.49</v>
      </c>
      <c r="P83" s="162"/>
      <c r="Q83" s="162"/>
      <c r="R83" s="162"/>
      <c r="S83" s="162"/>
      <c r="T83" s="292"/>
      <c r="U83" s="162"/>
      <c r="V83" s="181">
        <v>0</v>
      </c>
      <c r="W83" s="180"/>
    </row>
    <row r="84" spans="1:23">
      <c r="A84" s="160" t="s">
        <v>215</v>
      </c>
      <c r="B84" s="160" t="s">
        <v>53</v>
      </c>
      <c r="E84" s="165">
        <v>85890</v>
      </c>
      <c r="G84" s="165">
        <v>85166.98</v>
      </c>
      <c r="H84" s="165"/>
      <c r="I84" s="165">
        <v>91066.51</v>
      </c>
      <c r="J84" s="165"/>
      <c r="K84" s="165">
        <v>92531.82</v>
      </c>
      <c r="L84" s="165"/>
      <c r="M84" s="165">
        <v>96665.9</v>
      </c>
      <c r="N84" s="165">
        <v>97005.91</v>
      </c>
      <c r="O84" s="162">
        <v>154217.34</v>
      </c>
      <c r="P84" s="162">
        <v>203169.77</v>
      </c>
      <c r="Q84" s="162">
        <v>194000</v>
      </c>
      <c r="R84" s="162"/>
      <c r="S84" s="162">
        <v>194000</v>
      </c>
      <c r="U84" s="162">
        <v>194000</v>
      </c>
      <c r="V84" s="181">
        <f t="shared" si="29"/>
        <v>0</v>
      </c>
      <c r="W84" s="180">
        <f t="shared" ref="W84:W92" si="30">S84-Q84</f>
        <v>0</v>
      </c>
    </row>
    <row r="85" spans="1:23">
      <c r="A85" s="160" t="s">
        <v>217</v>
      </c>
      <c r="B85" s="160" t="s">
        <v>882</v>
      </c>
      <c r="E85" s="165">
        <v>4290</v>
      </c>
      <c r="G85" s="165">
        <v>4290</v>
      </c>
      <c r="H85" s="165"/>
      <c r="I85" s="165">
        <v>3993</v>
      </c>
      <c r="J85" s="165"/>
      <c r="K85" s="165">
        <v>4719</v>
      </c>
      <c r="L85" s="165"/>
      <c r="M85" s="165">
        <v>3630</v>
      </c>
      <c r="N85" s="165">
        <v>4356</v>
      </c>
      <c r="O85" s="162">
        <v>5190.8999999999996</v>
      </c>
      <c r="P85" s="162">
        <v>36000</v>
      </c>
      <c r="Q85" s="162">
        <v>36000</v>
      </c>
      <c r="R85" s="162"/>
      <c r="S85" s="162">
        <v>36000</v>
      </c>
      <c r="U85" s="162">
        <v>36000</v>
      </c>
      <c r="V85" s="181">
        <f t="shared" si="29"/>
        <v>0</v>
      </c>
      <c r="W85" s="180">
        <f t="shared" si="30"/>
        <v>0</v>
      </c>
    </row>
    <row r="86" spans="1:23">
      <c r="A86" s="160" t="s">
        <v>218</v>
      </c>
      <c r="B86" s="160" t="s">
        <v>219</v>
      </c>
      <c r="E86" s="165">
        <v>13610.26</v>
      </c>
      <c r="G86" s="165">
        <v>17129.22</v>
      </c>
      <c r="H86" s="165"/>
      <c r="I86" s="165">
        <v>16444.939999999999</v>
      </c>
      <c r="J86" s="165"/>
      <c r="K86" s="165">
        <v>14979.36</v>
      </c>
      <c r="L86" s="165"/>
      <c r="M86" s="165">
        <v>10285.450000000001</v>
      </c>
      <c r="N86" s="165">
        <v>12110.48</v>
      </c>
      <c r="O86" s="162">
        <v>9405.93</v>
      </c>
      <c r="P86" s="162">
        <v>1618.11</v>
      </c>
      <c r="Q86" s="162">
        <v>1700</v>
      </c>
      <c r="R86" s="162"/>
      <c r="S86" s="162">
        <v>1700</v>
      </c>
      <c r="U86" s="162">
        <v>1700</v>
      </c>
      <c r="V86" s="181">
        <f t="shared" si="29"/>
        <v>0</v>
      </c>
      <c r="W86" s="180">
        <f t="shared" si="30"/>
        <v>0</v>
      </c>
    </row>
    <row r="87" spans="1:23">
      <c r="A87" s="160" t="s">
        <v>1431</v>
      </c>
      <c r="B87" s="160" t="s">
        <v>1324</v>
      </c>
      <c r="E87" s="165">
        <v>15127.79</v>
      </c>
      <c r="G87" s="165">
        <v>15288.88</v>
      </c>
      <c r="H87" s="165"/>
      <c r="I87" s="165">
        <v>16042.43</v>
      </c>
      <c r="J87" s="165"/>
      <c r="K87" s="165">
        <v>16612.88</v>
      </c>
      <c r="L87" s="165"/>
      <c r="M87" s="165">
        <v>34424.58</v>
      </c>
      <c r="N87" s="165">
        <v>32414.95</v>
      </c>
      <c r="O87" s="162">
        <v>36884.089999999997</v>
      </c>
      <c r="P87" s="162">
        <v>59701.91</v>
      </c>
      <c r="Q87" s="162">
        <v>59000</v>
      </c>
      <c r="R87" s="162"/>
      <c r="S87" s="162">
        <v>59000</v>
      </c>
      <c r="U87" s="162">
        <v>59000</v>
      </c>
      <c r="V87" s="181">
        <f t="shared" si="29"/>
        <v>0</v>
      </c>
      <c r="W87" s="180">
        <f t="shared" si="30"/>
        <v>0</v>
      </c>
    </row>
    <row r="88" spans="1:23">
      <c r="A88" s="160" t="s">
        <v>1432</v>
      </c>
      <c r="B88" s="160" t="s">
        <v>992</v>
      </c>
      <c r="E88" s="165">
        <v>15127.79</v>
      </c>
      <c r="G88" s="165">
        <v>15288.88</v>
      </c>
      <c r="H88" s="165"/>
      <c r="I88" s="165">
        <v>16042.43</v>
      </c>
      <c r="J88" s="165"/>
      <c r="K88" s="165">
        <v>16612.88</v>
      </c>
      <c r="L88" s="165"/>
      <c r="M88" s="165">
        <v>34424.58</v>
      </c>
      <c r="N88" s="165">
        <v>7420.26</v>
      </c>
      <c r="O88" s="162">
        <v>5941.1</v>
      </c>
      <c r="P88" s="162">
        <v>11908.64</v>
      </c>
      <c r="Q88" s="162">
        <v>11700</v>
      </c>
      <c r="R88" s="162"/>
      <c r="S88" s="162">
        <v>12000</v>
      </c>
      <c r="U88" s="162">
        <v>12000</v>
      </c>
      <c r="V88" s="181">
        <f t="shared" si="29"/>
        <v>2.564102564102564E-2</v>
      </c>
      <c r="W88" s="180">
        <f>S88-Q88</f>
        <v>300</v>
      </c>
    </row>
    <row r="89" spans="1:23">
      <c r="A89" s="160" t="s">
        <v>1433</v>
      </c>
      <c r="B89" s="160" t="s">
        <v>620</v>
      </c>
      <c r="E89" s="165">
        <v>31458.99</v>
      </c>
      <c r="G89" s="165">
        <v>37371.339999999997</v>
      </c>
      <c r="H89" s="165"/>
      <c r="I89" s="165">
        <v>38411.93</v>
      </c>
      <c r="J89" s="165"/>
      <c r="K89" s="165">
        <v>38724.25</v>
      </c>
      <c r="L89" s="165"/>
      <c r="M89" s="165">
        <v>43967.07</v>
      </c>
      <c r="N89" s="165">
        <v>45795.88</v>
      </c>
      <c r="O89" s="162">
        <v>51415.16</v>
      </c>
      <c r="P89" s="162">
        <v>89273.78</v>
      </c>
      <c r="Q89" s="162">
        <v>90000</v>
      </c>
      <c r="R89" s="162"/>
      <c r="S89" s="162">
        <v>98000</v>
      </c>
      <c r="U89" s="162">
        <v>98000</v>
      </c>
      <c r="V89" s="181">
        <f t="shared" si="29"/>
        <v>8.8888888888888892E-2</v>
      </c>
      <c r="W89" s="180">
        <f t="shared" si="30"/>
        <v>8000</v>
      </c>
    </row>
    <row r="90" spans="1:23">
      <c r="A90" s="160" t="s">
        <v>1434</v>
      </c>
      <c r="B90" s="160" t="s">
        <v>636</v>
      </c>
      <c r="E90" s="165">
        <v>2542.2600000000002</v>
      </c>
      <c r="G90" s="165">
        <v>3095.43</v>
      </c>
      <c r="H90" s="165"/>
      <c r="I90" s="165">
        <v>2481.46</v>
      </c>
      <c r="J90" s="165"/>
      <c r="K90" s="165">
        <v>2933.22</v>
      </c>
      <c r="L90" s="165"/>
      <c r="M90" s="165">
        <v>2954.61</v>
      </c>
      <c r="N90" s="165">
        <v>2874.08</v>
      </c>
      <c r="O90" s="162">
        <v>4229.1400000000003</v>
      </c>
      <c r="P90" s="162">
        <v>5701.01</v>
      </c>
      <c r="Q90" s="162">
        <v>5700</v>
      </c>
      <c r="R90" s="162"/>
      <c r="S90" s="162">
        <v>8849.33</v>
      </c>
      <c r="U90" s="162">
        <v>8500</v>
      </c>
      <c r="V90" s="181">
        <f t="shared" si="29"/>
        <v>0.49122807017543857</v>
      </c>
      <c r="W90" s="180">
        <f t="shared" si="30"/>
        <v>3149.33</v>
      </c>
    </row>
    <row r="91" spans="1:23">
      <c r="A91" s="160" t="s">
        <v>478</v>
      </c>
      <c r="B91" s="160" t="s">
        <v>883</v>
      </c>
      <c r="E91" s="165">
        <v>7902.35</v>
      </c>
      <c r="G91" s="165">
        <v>7996.72</v>
      </c>
      <c r="H91" s="165"/>
      <c r="I91" s="165">
        <v>8496.5400000000009</v>
      </c>
      <c r="J91" s="165"/>
      <c r="K91" s="165">
        <v>8701.1</v>
      </c>
      <c r="L91" s="165"/>
      <c r="M91" s="165">
        <v>9057.23</v>
      </c>
      <c r="N91" s="165">
        <v>9303.35</v>
      </c>
      <c r="O91" s="162">
        <v>10706.79</v>
      </c>
      <c r="P91" s="162">
        <v>8464.8700000000008</v>
      </c>
      <c r="Q91" s="162">
        <v>8450</v>
      </c>
      <c r="R91" s="162"/>
      <c r="S91" s="162">
        <v>8700</v>
      </c>
      <c r="U91" s="162">
        <v>8700</v>
      </c>
      <c r="V91" s="181">
        <f t="shared" si="29"/>
        <v>2.9585798816568046E-2</v>
      </c>
      <c r="W91" s="180">
        <f t="shared" si="30"/>
        <v>250</v>
      </c>
    </row>
    <row r="92" spans="1:23">
      <c r="A92" s="160" t="s">
        <v>1435</v>
      </c>
      <c r="B92" s="160" t="s">
        <v>216</v>
      </c>
      <c r="E92" s="165">
        <v>2770.07</v>
      </c>
      <c r="G92" s="165">
        <v>4082.64</v>
      </c>
      <c r="H92" s="165"/>
      <c r="I92" s="165">
        <v>4490.43</v>
      </c>
      <c r="J92" s="165"/>
      <c r="K92" s="165">
        <v>4599.7</v>
      </c>
      <c r="L92" s="165"/>
      <c r="M92" s="165">
        <v>9057.11</v>
      </c>
      <c r="N92" s="165">
        <v>2013.59</v>
      </c>
      <c r="O92" s="162">
        <v>4514.3900000000003</v>
      </c>
      <c r="P92" s="162">
        <v>5816.12</v>
      </c>
      <c r="Q92" s="162">
        <v>2500</v>
      </c>
      <c r="R92" s="162"/>
      <c r="S92" s="162">
        <v>2500</v>
      </c>
      <c r="U92" s="162">
        <v>2500</v>
      </c>
      <c r="V92" s="181">
        <f t="shared" si="29"/>
        <v>0</v>
      </c>
      <c r="W92" s="180">
        <f t="shared" si="30"/>
        <v>0</v>
      </c>
    </row>
    <row r="93" spans="1:23" ht="15.75">
      <c r="B93" s="188" t="s">
        <v>102</v>
      </c>
      <c r="C93" s="292"/>
      <c r="D93" s="287">
        <f>SUM(D84:D92)</f>
        <v>0</v>
      </c>
      <c r="E93" s="287">
        <f>SUM(E84:E92)</f>
        <v>178719.51</v>
      </c>
      <c r="F93" s="287">
        <f>SUM(F84:F92)</f>
        <v>0</v>
      </c>
      <c r="G93" s="287">
        <f>SUM(G84:G92)</f>
        <v>189710.09</v>
      </c>
      <c r="H93" s="287">
        <f>SUM(H84:H92)</f>
        <v>0</v>
      </c>
      <c r="I93" s="287">
        <f>SUM(I82:I92)</f>
        <v>219557.01999999996</v>
      </c>
      <c r="J93" s="287">
        <f>SUM(J84:J92)</f>
        <v>0</v>
      </c>
      <c r="K93" s="287">
        <f>SUM(K82:K92)</f>
        <v>222360.07000000004</v>
      </c>
      <c r="L93" s="287">
        <f>SUM(L84:L92)</f>
        <v>0</v>
      </c>
      <c r="M93" s="287">
        <f t="shared" ref="M93:U93" si="31">SUM(M82:M92)</f>
        <v>262887.38</v>
      </c>
      <c r="N93" s="287">
        <f t="shared" si="31"/>
        <v>234526.96000000002</v>
      </c>
      <c r="O93" s="285">
        <f t="shared" si="31"/>
        <v>303786.71000000002</v>
      </c>
      <c r="P93" s="333">
        <f>SUM(P82:P92)</f>
        <v>445420.07000000007</v>
      </c>
      <c r="Q93" s="333">
        <f t="shared" si="31"/>
        <v>431550</v>
      </c>
      <c r="R93" s="333">
        <f t="shared" si="31"/>
        <v>0</v>
      </c>
      <c r="S93" s="333">
        <f t="shared" si="31"/>
        <v>440749.33</v>
      </c>
      <c r="T93" s="333">
        <f t="shared" si="31"/>
        <v>0</v>
      </c>
      <c r="U93" s="333">
        <f t="shared" si="31"/>
        <v>441400</v>
      </c>
      <c r="V93" s="384">
        <f>(U93-Q93)/Q93</f>
        <v>2.2824701656818446E-2</v>
      </c>
      <c r="W93" s="190">
        <f>SUM(W82:W92)</f>
        <v>9199.33</v>
      </c>
    </row>
    <row r="94" spans="1:23" ht="15.75">
      <c r="B94" s="188"/>
      <c r="C94" s="292"/>
      <c r="D94" s="292"/>
      <c r="E94" s="193"/>
      <c r="F94" s="292"/>
      <c r="G94" s="193"/>
      <c r="H94" s="193"/>
      <c r="I94" s="193"/>
      <c r="J94" s="193"/>
      <c r="K94" s="193"/>
      <c r="L94" s="193"/>
      <c r="M94" s="193"/>
      <c r="N94" s="193"/>
      <c r="O94" s="391"/>
      <c r="P94" s="391"/>
      <c r="Q94" s="292"/>
      <c r="R94" s="292"/>
      <c r="S94" s="292"/>
      <c r="T94" s="292"/>
      <c r="U94" s="292"/>
      <c r="W94" s="180"/>
    </row>
    <row r="95" spans="1:23">
      <c r="A95" s="160" t="s">
        <v>200</v>
      </c>
      <c r="B95" s="160" t="s">
        <v>192</v>
      </c>
      <c r="E95" s="165">
        <v>280</v>
      </c>
      <c r="G95" s="165">
        <v>160</v>
      </c>
      <c r="H95" s="165"/>
      <c r="I95" s="165">
        <v>280</v>
      </c>
      <c r="J95" s="165"/>
      <c r="K95" s="165">
        <v>180</v>
      </c>
      <c r="L95" s="165"/>
      <c r="M95" s="165">
        <v>480</v>
      </c>
      <c r="N95" s="165">
        <v>320</v>
      </c>
      <c r="O95" s="162">
        <v>20</v>
      </c>
      <c r="P95" s="162">
        <v>120</v>
      </c>
      <c r="Q95" s="162">
        <v>0</v>
      </c>
      <c r="R95" s="162"/>
      <c r="S95" s="162">
        <v>40</v>
      </c>
      <c r="U95" s="162">
        <v>0</v>
      </c>
      <c r="W95" s="180"/>
    </row>
    <row r="96" spans="1:23">
      <c r="A96" s="160" t="s">
        <v>201</v>
      </c>
      <c r="B96" s="160" t="s">
        <v>202</v>
      </c>
      <c r="E96" s="165">
        <v>3076</v>
      </c>
      <c r="G96" s="165">
        <v>2115</v>
      </c>
      <c r="H96" s="165"/>
      <c r="I96" s="165">
        <v>2712</v>
      </c>
      <c r="J96" s="165"/>
      <c r="K96" s="165">
        <v>5625</v>
      </c>
      <c r="L96" s="165"/>
      <c r="M96" s="165">
        <v>4713</v>
      </c>
      <c r="N96" s="165">
        <v>3437</v>
      </c>
      <c r="O96" s="162">
        <v>4615</v>
      </c>
      <c r="P96" s="162">
        <v>300</v>
      </c>
      <c r="Q96" s="162">
        <v>250</v>
      </c>
      <c r="R96" s="162"/>
      <c r="S96" s="162">
        <v>300</v>
      </c>
      <c r="U96" s="162">
        <v>300</v>
      </c>
      <c r="W96" s="180"/>
    </row>
    <row r="97" spans="1:23">
      <c r="A97" s="160" t="s">
        <v>870</v>
      </c>
      <c r="B97" s="160" t="s">
        <v>871</v>
      </c>
      <c r="E97" s="165">
        <v>2000</v>
      </c>
      <c r="G97" s="165">
        <v>0</v>
      </c>
      <c r="H97" s="165"/>
      <c r="I97" s="165">
        <v>0</v>
      </c>
      <c r="J97" s="165"/>
      <c r="K97" s="165">
        <v>3219.6</v>
      </c>
      <c r="L97" s="165"/>
      <c r="M97" s="165">
        <v>0</v>
      </c>
      <c r="N97" s="165">
        <v>0</v>
      </c>
      <c r="O97" s="162">
        <v>6700</v>
      </c>
      <c r="P97" s="162">
        <v>35200</v>
      </c>
      <c r="Q97" s="162">
        <v>30000</v>
      </c>
      <c r="R97" s="162"/>
      <c r="S97" s="162">
        <v>30000</v>
      </c>
      <c r="U97" s="162">
        <v>30000</v>
      </c>
      <c r="W97" s="180"/>
    </row>
    <row r="98" spans="1:23">
      <c r="A98" s="160" t="s">
        <v>1517</v>
      </c>
      <c r="B98" s="160" t="s">
        <v>1518</v>
      </c>
      <c r="E98" s="165"/>
      <c r="G98" s="165"/>
      <c r="H98" s="165"/>
      <c r="I98" s="165"/>
      <c r="J98" s="165"/>
      <c r="K98" s="165"/>
      <c r="L98" s="165"/>
      <c r="M98" s="165"/>
      <c r="N98" s="165"/>
      <c r="O98" s="162"/>
      <c r="P98" s="162">
        <v>232</v>
      </c>
      <c r="Q98" s="162">
        <v>0</v>
      </c>
      <c r="R98" s="162"/>
      <c r="S98" s="162">
        <v>0</v>
      </c>
      <c r="U98" s="162">
        <v>0</v>
      </c>
      <c r="W98" s="180"/>
    </row>
    <row r="99" spans="1:23">
      <c r="A99" s="160" t="s">
        <v>1445</v>
      </c>
      <c r="B99" s="160" t="s">
        <v>884</v>
      </c>
      <c r="E99" s="165">
        <v>2000</v>
      </c>
      <c r="G99" s="165">
        <v>0</v>
      </c>
      <c r="H99" s="165"/>
      <c r="I99" s="165">
        <v>14040</v>
      </c>
      <c r="J99" s="165"/>
      <c r="K99" s="165">
        <v>12180</v>
      </c>
      <c r="L99" s="165"/>
      <c r="M99" s="165">
        <v>9510</v>
      </c>
      <c r="N99" s="165">
        <v>7425</v>
      </c>
      <c r="O99" s="162">
        <v>6755</v>
      </c>
      <c r="P99" s="162">
        <v>0</v>
      </c>
      <c r="Q99" s="162">
        <v>0</v>
      </c>
      <c r="R99" s="162"/>
      <c r="S99" s="162">
        <v>0</v>
      </c>
      <c r="U99" s="162">
        <v>0</v>
      </c>
      <c r="W99" s="180"/>
    </row>
    <row r="100" spans="1:23">
      <c r="A100" s="160" t="s">
        <v>1446</v>
      </c>
      <c r="B100" s="160" t="s">
        <v>1386</v>
      </c>
      <c r="E100" s="165"/>
      <c r="G100" s="165"/>
      <c r="H100" s="165"/>
      <c r="I100" s="165"/>
      <c r="J100" s="165"/>
      <c r="K100" s="165"/>
      <c r="L100" s="165"/>
      <c r="M100" s="165"/>
      <c r="N100" s="165"/>
      <c r="O100" s="162"/>
      <c r="P100" s="162">
        <v>0</v>
      </c>
      <c r="Q100" s="162">
        <v>0</v>
      </c>
      <c r="R100" s="162"/>
      <c r="S100" s="162">
        <f>1887+2500</f>
        <v>4387</v>
      </c>
      <c r="U100" s="162">
        <v>1250</v>
      </c>
      <c r="W100" s="180"/>
    </row>
    <row r="101" spans="1:23">
      <c r="A101" s="160" t="s">
        <v>1450</v>
      </c>
      <c r="B101" s="160" t="s">
        <v>872</v>
      </c>
      <c r="E101" s="165">
        <v>0</v>
      </c>
      <c r="G101" s="165">
        <v>630</v>
      </c>
      <c r="H101" s="165"/>
      <c r="I101" s="165">
        <v>0</v>
      </c>
      <c r="J101" s="165"/>
      <c r="K101" s="165">
        <v>280</v>
      </c>
      <c r="L101" s="165"/>
      <c r="M101" s="165">
        <v>1240</v>
      </c>
      <c r="N101" s="165">
        <v>1730</v>
      </c>
      <c r="O101" s="162">
        <v>2350</v>
      </c>
      <c r="P101" s="162">
        <v>2790</v>
      </c>
      <c r="Q101" s="162">
        <v>2500</v>
      </c>
      <c r="R101" s="162"/>
      <c r="S101" s="162">
        <v>3000</v>
      </c>
      <c r="U101" s="162">
        <v>3000</v>
      </c>
      <c r="W101" s="180"/>
    </row>
    <row r="102" spans="1:23">
      <c r="A102" s="160" t="s">
        <v>1448</v>
      </c>
      <c r="B102" s="160" t="s">
        <v>1172</v>
      </c>
      <c r="E102" s="165">
        <v>135</v>
      </c>
      <c r="G102" s="165">
        <v>1440</v>
      </c>
      <c r="H102" s="165"/>
      <c r="I102" s="165">
        <v>1755</v>
      </c>
      <c r="J102" s="165"/>
      <c r="K102" s="165">
        <v>1620</v>
      </c>
      <c r="L102" s="165"/>
      <c r="M102" s="165">
        <v>2170</v>
      </c>
      <c r="N102" s="165">
        <v>2760</v>
      </c>
      <c r="O102" s="162">
        <v>2730</v>
      </c>
      <c r="P102" s="162">
        <v>5980</v>
      </c>
      <c r="Q102" s="162">
        <v>5000</v>
      </c>
      <c r="R102" s="162"/>
      <c r="S102" s="162">
        <v>5000</v>
      </c>
      <c r="U102" s="162">
        <v>5000</v>
      </c>
      <c r="W102" s="180"/>
    </row>
    <row r="103" spans="1:23">
      <c r="A103" s="160" t="s">
        <v>1449</v>
      </c>
      <c r="B103" s="160" t="s">
        <v>1407</v>
      </c>
      <c r="E103" s="165">
        <v>0</v>
      </c>
      <c r="G103" s="165">
        <v>630</v>
      </c>
      <c r="H103" s="165"/>
      <c r="I103" s="165">
        <v>270</v>
      </c>
      <c r="J103" s="165"/>
      <c r="K103" s="165">
        <v>380</v>
      </c>
      <c r="L103" s="165"/>
      <c r="M103" s="165">
        <v>810</v>
      </c>
      <c r="N103" s="165">
        <v>495</v>
      </c>
      <c r="O103" s="162">
        <v>462.5</v>
      </c>
      <c r="P103" s="162">
        <v>0</v>
      </c>
      <c r="Q103" s="162">
        <v>0</v>
      </c>
      <c r="R103" s="162"/>
      <c r="S103" s="162">
        <v>0</v>
      </c>
      <c r="U103" s="162">
        <v>0</v>
      </c>
      <c r="W103" s="180"/>
    </row>
    <row r="104" spans="1:23">
      <c r="A104" s="160" t="s">
        <v>1451</v>
      </c>
      <c r="B104" s="160" t="s">
        <v>1100</v>
      </c>
      <c r="E104" s="165">
        <v>0</v>
      </c>
      <c r="G104" s="165">
        <v>630</v>
      </c>
      <c r="H104" s="165"/>
      <c r="I104" s="165">
        <v>0</v>
      </c>
      <c r="J104" s="165"/>
      <c r="K104" s="165">
        <v>280</v>
      </c>
      <c r="L104" s="165"/>
      <c r="M104" s="165">
        <v>1240</v>
      </c>
      <c r="N104" s="165">
        <v>1730</v>
      </c>
      <c r="O104" s="162">
        <v>20</v>
      </c>
      <c r="P104" s="162">
        <v>10</v>
      </c>
      <c r="Q104" s="162">
        <v>0</v>
      </c>
      <c r="R104" s="162"/>
      <c r="S104" s="162">
        <v>10</v>
      </c>
      <c r="U104" s="162">
        <v>0</v>
      </c>
      <c r="W104" s="180"/>
    </row>
    <row r="105" spans="1:23">
      <c r="A105" s="160" t="s">
        <v>1447</v>
      </c>
      <c r="B105" s="160" t="s">
        <v>628</v>
      </c>
      <c r="E105" s="165">
        <v>8501</v>
      </c>
      <c r="G105" s="165">
        <v>4400</v>
      </c>
      <c r="H105" s="165"/>
      <c r="I105" s="165">
        <v>10900</v>
      </c>
      <c r="J105" s="165"/>
      <c r="K105" s="165">
        <v>0</v>
      </c>
      <c r="L105" s="165"/>
      <c r="M105" s="165">
        <v>376</v>
      </c>
      <c r="N105" s="165">
        <v>2255.5</v>
      </c>
      <c r="O105" s="162">
        <v>5844</v>
      </c>
      <c r="P105" s="162">
        <v>700</v>
      </c>
      <c r="Q105" s="162">
        <v>0</v>
      </c>
      <c r="R105" s="162"/>
      <c r="S105" s="162">
        <v>1360</v>
      </c>
      <c r="U105" s="162">
        <v>500</v>
      </c>
      <c r="W105" s="180"/>
    </row>
    <row r="106" spans="1:23" hidden="1">
      <c r="A106" s="160" t="s">
        <v>98</v>
      </c>
      <c r="B106" s="160" t="s">
        <v>99</v>
      </c>
      <c r="E106" s="165">
        <v>7246.11</v>
      </c>
      <c r="G106" s="165">
        <v>6732.59</v>
      </c>
      <c r="H106" s="165"/>
      <c r="I106" s="165">
        <v>9586.59</v>
      </c>
      <c r="J106" s="165"/>
      <c r="K106" s="165">
        <v>9629.3799999999992</v>
      </c>
      <c r="L106" s="165"/>
      <c r="M106" s="165">
        <v>8552.2000000000007</v>
      </c>
      <c r="N106" s="165">
        <v>9061.57</v>
      </c>
      <c r="O106" s="162">
        <v>23235.61</v>
      </c>
      <c r="P106" s="162"/>
      <c r="Q106" s="162"/>
      <c r="R106" s="162"/>
      <c r="S106" s="162"/>
      <c r="U106" s="162"/>
      <c r="W106" s="180"/>
    </row>
    <row r="107" spans="1:23">
      <c r="A107" s="160" t="s">
        <v>1456</v>
      </c>
      <c r="B107" s="160" t="s">
        <v>154</v>
      </c>
      <c r="E107" s="165">
        <v>3305.7</v>
      </c>
      <c r="G107" s="165">
        <v>2543.65</v>
      </c>
      <c r="H107" s="165"/>
      <c r="I107" s="165">
        <v>2692.95</v>
      </c>
      <c r="J107" s="165"/>
      <c r="K107" s="165">
        <v>2834.85</v>
      </c>
      <c r="L107" s="165"/>
      <c r="M107" s="165">
        <v>2823</v>
      </c>
      <c r="N107" s="165">
        <v>4069.1</v>
      </c>
      <c r="O107" s="162">
        <v>2628.95</v>
      </c>
      <c r="P107" s="162">
        <v>6965.3</v>
      </c>
      <c r="Q107" s="162">
        <v>6500</v>
      </c>
      <c r="R107" s="162"/>
      <c r="S107" s="162">
        <v>6000</v>
      </c>
      <c r="U107" s="162">
        <v>6000</v>
      </c>
      <c r="W107" s="180"/>
    </row>
    <row r="108" spans="1:23">
      <c r="A108" s="160" t="s">
        <v>1455</v>
      </c>
      <c r="B108" s="160" t="s">
        <v>468</v>
      </c>
      <c r="E108" s="165">
        <v>7799.72</v>
      </c>
      <c r="G108" s="165">
        <v>9810.81</v>
      </c>
      <c r="H108" s="165"/>
      <c r="I108" s="165">
        <v>10621.88</v>
      </c>
      <c r="J108" s="165"/>
      <c r="K108" s="165">
        <v>10206.379999999999</v>
      </c>
      <c r="L108" s="165"/>
      <c r="M108" s="165">
        <v>11823.02</v>
      </c>
      <c r="N108" s="165">
        <v>12762.58</v>
      </c>
      <c r="O108" s="162">
        <v>14030.7</v>
      </c>
      <c r="P108" s="162">
        <v>944.45</v>
      </c>
      <c r="Q108" s="162">
        <v>750</v>
      </c>
      <c r="R108" s="162"/>
      <c r="S108" s="162">
        <v>1100</v>
      </c>
      <c r="U108" s="162">
        <v>750</v>
      </c>
      <c r="W108" s="180"/>
    </row>
    <row r="109" spans="1:23">
      <c r="A109" s="160" t="s">
        <v>939</v>
      </c>
      <c r="B109" s="160" t="s">
        <v>362</v>
      </c>
      <c r="E109" s="165">
        <v>30153.16</v>
      </c>
      <c r="G109" s="165">
        <v>21231.919999999998</v>
      </c>
      <c r="H109" s="165"/>
      <c r="I109" s="165">
        <v>23595.21</v>
      </c>
      <c r="J109" s="165"/>
      <c r="K109" s="165">
        <v>12581.78</v>
      </c>
      <c r="L109" s="165"/>
      <c r="M109" s="165">
        <v>15064.08</v>
      </c>
      <c r="N109" s="165">
        <v>1791.52</v>
      </c>
      <c r="O109" s="162">
        <v>986.25</v>
      </c>
      <c r="P109" s="162">
        <v>10719.89</v>
      </c>
      <c r="Q109" s="162">
        <v>10000</v>
      </c>
      <c r="R109" s="162"/>
      <c r="S109" s="162">
        <v>93000</v>
      </c>
      <c r="U109" s="162">
        <v>84000</v>
      </c>
      <c r="W109" s="180"/>
    </row>
    <row r="110" spans="1:23">
      <c r="A110" s="160" t="s">
        <v>708</v>
      </c>
      <c r="B110" s="160" t="s">
        <v>707</v>
      </c>
      <c r="E110" s="165">
        <v>15000</v>
      </c>
      <c r="G110" s="165">
        <v>15000</v>
      </c>
      <c r="H110" s="165"/>
      <c r="I110" s="165">
        <v>15000</v>
      </c>
      <c r="J110" s="165"/>
      <c r="K110" s="165">
        <v>15000</v>
      </c>
      <c r="L110" s="165"/>
      <c r="M110" s="165">
        <v>15000</v>
      </c>
      <c r="N110" s="165">
        <v>15000</v>
      </c>
      <c r="O110" s="162">
        <v>15000</v>
      </c>
      <c r="P110" s="162">
        <v>15000</v>
      </c>
      <c r="Q110" s="162">
        <v>15000</v>
      </c>
      <c r="R110" s="162"/>
      <c r="S110" s="162">
        <v>15000</v>
      </c>
      <c r="U110" s="162">
        <v>15000</v>
      </c>
      <c r="W110" s="180"/>
    </row>
    <row r="111" spans="1:23">
      <c r="A111" s="160" t="s">
        <v>1436</v>
      </c>
      <c r="B111" s="160" t="s">
        <v>359</v>
      </c>
      <c r="E111" s="165">
        <v>28382.98</v>
      </c>
      <c r="G111" s="165">
        <v>17395.63</v>
      </c>
      <c r="H111" s="165"/>
      <c r="I111" s="165">
        <v>15811.53</v>
      </c>
      <c r="J111" s="165"/>
      <c r="K111" s="165">
        <v>17886.54</v>
      </c>
      <c r="L111" s="165"/>
      <c r="M111" s="165">
        <v>30669.67</v>
      </c>
      <c r="N111" s="165">
        <v>32381.17</v>
      </c>
      <c r="O111" s="162">
        <v>53633.46</v>
      </c>
      <c r="P111" s="162">
        <v>227997.96</v>
      </c>
      <c r="Q111" s="162">
        <v>175000</v>
      </c>
      <c r="R111" s="162"/>
      <c r="S111" s="162">
        <v>260000</v>
      </c>
      <c r="U111" s="162">
        <v>175000</v>
      </c>
      <c r="W111" s="180"/>
    </row>
    <row r="112" spans="1:23">
      <c r="A112" s="160" t="s">
        <v>1437</v>
      </c>
      <c r="B112" s="160" t="s">
        <v>990</v>
      </c>
      <c r="E112" s="165"/>
      <c r="G112" s="165"/>
      <c r="H112" s="165"/>
      <c r="I112" s="165"/>
      <c r="J112" s="165"/>
      <c r="K112" s="165"/>
      <c r="L112" s="165"/>
      <c r="M112" s="165"/>
      <c r="N112" s="165">
        <v>0</v>
      </c>
      <c r="O112" s="162">
        <v>0.97</v>
      </c>
      <c r="P112" s="162">
        <v>0</v>
      </c>
      <c r="Q112" s="162">
        <v>0</v>
      </c>
      <c r="R112" s="162"/>
      <c r="S112" s="162">
        <v>18.34</v>
      </c>
      <c r="U112" s="162">
        <v>0</v>
      </c>
      <c r="W112" s="180"/>
    </row>
    <row r="113" spans="1:23">
      <c r="A113" s="160" t="s">
        <v>1438</v>
      </c>
      <c r="B113" s="160" t="s">
        <v>467</v>
      </c>
      <c r="E113" s="165">
        <v>5825</v>
      </c>
      <c r="G113" s="165">
        <v>6825</v>
      </c>
      <c r="H113" s="165"/>
      <c r="I113" s="165">
        <v>5220</v>
      </c>
      <c r="J113" s="165"/>
      <c r="K113" s="165">
        <v>6400</v>
      </c>
      <c r="L113" s="165"/>
      <c r="M113" s="165">
        <v>4045</v>
      </c>
      <c r="N113" s="165">
        <v>5425</v>
      </c>
      <c r="O113" s="162">
        <v>8825</v>
      </c>
      <c r="P113" s="162">
        <v>12635</v>
      </c>
      <c r="Q113" s="162">
        <v>10000</v>
      </c>
      <c r="R113" s="162"/>
      <c r="S113" s="162">
        <v>16000</v>
      </c>
      <c r="U113" s="162">
        <v>12500</v>
      </c>
      <c r="W113" s="180"/>
    </row>
    <row r="114" spans="1:23">
      <c r="A114" s="160" t="s">
        <v>1458</v>
      </c>
      <c r="B114" s="160" t="s">
        <v>245</v>
      </c>
      <c r="E114" s="165">
        <v>11278.8</v>
      </c>
      <c r="G114" s="165">
        <v>12796.75</v>
      </c>
      <c r="H114" s="165"/>
      <c r="I114" s="165">
        <v>16177.77</v>
      </c>
      <c r="J114" s="165"/>
      <c r="K114" s="165">
        <v>-305.77</v>
      </c>
      <c r="L114" s="165"/>
      <c r="M114" s="165">
        <v>3603.64</v>
      </c>
      <c r="N114" s="165">
        <v>1715.49</v>
      </c>
      <c r="O114" s="162">
        <f>9146.89+137.98</f>
        <v>9284.869999999999</v>
      </c>
      <c r="P114" s="162">
        <v>18727.25</v>
      </c>
      <c r="Q114" s="162">
        <v>20127.5</v>
      </c>
      <c r="R114" s="162"/>
      <c r="S114" s="162">
        <v>17500</v>
      </c>
      <c r="U114" s="162">
        <v>17500</v>
      </c>
      <c r="W114" s="180"/>
    </row>
    <row r="115" spans="1:23">
      <c r="A115" s="160" t="s">
        <v>1439</v>
      </c>
      <c r="B115" s="160" t="s">
        <v>360</v>
      </c>
      <c r="E115" s="165">
        <v>2355</v>
      </c>
      <c r="G115" s="165">
        <v>2070</v>
      </c>
      <c r="H115" s="165"/>
      <c r="I115" s="165">
        <v>2280</v>
      </c>
      <c r="J115" s="165"/>
      <c r="K115" s="165">
        <v>2020</v>
      </c>
      <c r="L115" s="165"/>
      <c r="M115" s="165">
        <v>2310</v>
      </c>
      <c r="N115" s="165">
        <v>3490</v>
      </c>
      <c r="O115" s="162">
        <v>2205</v>
      </c>
      <c r="P115" s="162">
        <v>1670</v>
      </c>
      <c r="Q115" s="162">
        <v>1350</v>
      </c>
      <c r="R115" s="162"/>
      <c r="S115" s="162">
        <v>1350</v>
      </c>
      <c r="U115" s="162">
        <v>1350</v>
      </c>
      <c r="W115" s="180"/>
    </row>
    <row r="116" spans="1:23" ht="15" hidden="1" customHeight="1">
      <c r="A116" s="160" t="s">
        <v>993</v>
      </c>
      <c r="B116" s="160" t="s">
        <v>1032</v>
      </c>
      <c r="E116" s="165">
        <v>7246.11</v>
      </c>
      <c r="G116" s="165">
        <v>6732.59</v>
      </c>
      <c r="H116" s="165"/>
      <c r="I116" s="165">
        <v>9586.59</v>
      </c>
      <c r="J116" s="165"/>
      <c r="K116" s="165">
        <v>9629.3799999999992</v>
      </c>
      <c r="L116" s="165"/>
      <c r="M116" s="165">
        <v>0</v>
      </c>
      <c r="N116" s="165">
        <v>5500</v>
      </c>
      <c r="O116" s="162">
        <v>9300</v>
      </c>
      <c r="P116" s="162"/>
      <c r="Q116" s="162"/>
      <c r="R116" s="162"/>
      <c r="S116" s="162"/>
      <c r="U116" s="162"/>
      <c r="W116" s="180"/>
    </row>
    <row r="117" spans="1:23" ht="15" hidden="1" customHeight="1">
      <c r="A117" s="160" t="s">
        <v>982</v>
      </c>
      <c r="B117" s="160" t="s">
        <v>1033</v>
      </c>
      <c r="E117" s="165">
        <v>7246.11</v>
      </c>
      <c r="G117" s="165">
        <v>6732.59</v>
      </c>
      <c r="H117" s="165"/>
      <c r="I117" s="165">
        <v>9586.59</v>
      </c>
      <c r="J117" s="165"/>
      <c r="K117" s="165">
        <v>9629.3799999999992</v>
      </c>
      <c r="L117" s="165"/>
      <c r="M117" s="165">
        <v>0</v>
      </c>
      <c r="N117" s="165">
        <v>3240</v>
      </c>
      <c r="O117" s="162">
        <v>14045.04</v>
      </c>
      <c r="P117" s="162"/>
      <c r="Q117" s="162"/>
      <c r="R117" s="162"/>
      <c r="S117" s="162"/>
      <c r="U117" s="162"/>
      <c r="W117" s="180"/>
    </row>
    <row r="118" spans="1:23" ht="17.25" customHeight="1">
      <c r="A118" s="160" t="s">
        <v>1440</v>
      </c>
      <c r="B118" s="160" t="s">
        <v>962</v>
      </c>
      <c r="E118" s="165">
        <v>2355</v>
      </c>
      <c r="G118" s="165">
        <v>2070</v>
      </c>
      <c r="H118" s="165"/>
      <c r="I118" s="165">
        <v>2280</v>
      </c>
      <c r="J118" s="165"/>
      <c r="K118" s="165">
        <v>2020</v>
      </c>
      <c r="L118" s="165"/>
      <c r="M118" s="165">
        <v>3480</v>
      </c>
      <c r="N118" s="165">
        <v>4560</v>
      </c>
      <c r="O118" s="162">
        <v>5115</v>
      </c>
      <c r="P118" s="162">
        <v>3420</v>
      </c>
      <c r="Q118" s="162">
        <v>3000</v>
      </c>
      <c r="R118" s="162"/>
      <c r="S118" s="162">
        <v>5000</v>
      </c>
      <c r="U118" s="162">
        <v>5000</v>
      </c>
      <c r="W118" s="180"/>
    </row>
    <row r="119" spans="1:23" ht="17.25" customHeight="1">
      <c r="A119" s="160" t="s">
        <v>1441</v>
      </c>
      <c r="B119" s="160" t="s">
        <v>361</v>
      </c>
      <c r="E119" s="165">
        <v>270</v>
      </c>
      <c r="G119" s="165">
        <v>0</v>
      </c>
      <c r="H119" s="165"/>
      <c r="I119" s="165">
        <v>655</v>
      </c>
      <c r="J119" s="165"/>
      <c r="K119" s="165">
        <v>1490</v>
      </c>
      <c r="L119" s="165"/>
      <c r="M119" s="165">
        <v>0</v>
      </c>
      <c r="N119" s="165">
        <v>1145</v>
      </c>
      <c r="O119" s="162">
        <v>5335</v>
      </c>
      <c r="P119" s="162">
        <v>19694</v>
      </c>
      <c r="Q119" s="162">
        <v>7500</v>
      </c>
      <c r="R119" s="162"/>
      <c r="S119" s="162">
        <v>5000</v>
      </c>
      <c r="U119" s="162">
        <v>5000</v>
      </c>
      <c r="W119" s="180"/>
    </row>
    <row r="120" spans="1:23" ht="17.25" hidden="1" customHeight="1">
      <c r="A120" s="160" t="s">
        <v>1442</v>
      </c>
      <c r="B120" s="160" t="s">
        <v>774</v>
      </c>
      <c r="E120" s="165">
        <v>3300</v>
      </c>
      <c r="G120" s="165">
        <v>0</v>
      </c>
      <c r="H120" s="165"/>
      <c r="I120" s="165">
        <v>6005</v>
      </c>
      <c r="J120" s="165"/>
      <c r="K120" s="165">
        <v>0</v>
      </c>
      <c r="L120" s="165"/>
      <c r="M120" s="165">
        <v>0</v>
      </c>
      <c r="N120" s="165">
        <v>3100</v>
      </c>
      <c r="O120" s="162">
        <v>2764.01</v>
      </c>
      <c r="P120" s="162"/>
      <c r="Q120" s="162"/>
      <c r="R120" s="162"/>
      <c r="S120" s="162"/>
      <c r="U120" s="162"/>
      <c r="W120" s="180"/>
    </row>
    <row r="121" spans="1:23" ht="17.25" customHeight="1">
      <c r="A121" s="160" t="s">
        <v>1443</v>
      </c>
      <c r="B121" s="160" t="s">
        <v>1099</v>
      </c>
      <c r="E121" s="165">
        <v>30153.16</v>
      </c>
      <c r="G121" s="165">
        <v>21231.919999999998</v>
      </c>
      <c r="H121" s="165"/>
      <c r="I121" s="165">
        <v>23595.21</v>
      </c>
      <c r="J121" s="165"/>
      <c r="K121" s="165">
        <v>12581.78</v>
      </c>
      <c r="L121" s="165"/>
      <c r="M121" s="165">
        <v>15064.08</v>
      </c>
      <c r="N121" s="165">
        <v>1791.52</v>
      </c>
      <c r="O121" s="162">
        <v>150</v>
      </c>
      <c r="P121" s="162">
        <v>200</v>
      </c>
      <c r="Q121" s="162">
        <v>0</v>
      </c>
      <c r="R121" s="162"/>
      <c r="S121" s="162">
        <v>0</v>
      </c>
      <c r="U121" s="162">
        <v>0</v>
      </c>
      <c r="W121" s="180"/>
    </row>
    <row r="122" spans="1:23">
      <c r="A122" s="160" t="s">
        <v>1452</v>
      </c>
      <c r="B122" s="160" t="s">
        <v>997</v>
      </c>
      <c r="E122" s="165">
        <v>4386.5600000000004</v>
      </c>
      <c r="G122" s="165">
        <v>840</v>
      </c>
      <c r="H122" s="165"/>
      <c r="I122" s="165">
        <v>2896</v>
      </c>
      <c r="J122" s="165"/>
      <c r="K122" s="165">
        <v>4685</v>
      </c>
      <c r="L122" s="165"/>
      <c r="M122" s="165">
        <v>6665</v>
      </c>
      <c r="N122" s="165">
        <v>0</v>
      </c>
      <c r="O122" s="162">
        <v>5789</v>
      </c>
      <c r="P122" s="162">
        <v>3951</v>
      </c>
      <c r="Q122" s="162">
        <v>4500</v>
      </c>
      <c r="R122" s="162"/>
      <c r="S122" s="162">
        <v>3500</v>
      </c>
      <c r="U122" s="162">
        <v>3500</v>
      </c>
      <c r="W122" s="180"/>
    </row>
    <row r="123" spans="1:23" hidden="1">
      <c r="A123" s="160" t="s">
        <v>1453</v>
      </c>
      <c r="B123" s="160" t="s">
        <v>1173</v>
      </c>
      <c r="E123" s="165">
        <v>4386.5600000000004</v>
      </c>
      <c r="G123" s="165">
        <v>840</v>
      </c>
      <c r="H123" s="165"/>
      <c r="I123" s="165">
        <v>2896</v>
      </c>
      <c r="J123" s="165"/>
      <c r="K123" s="165">
        <v>4685</v>
      </c>
      <c r="L123" s="165"/>
      <c r="M123" s="165">
        <v>6665</v>
      </c>
      <c r="N123" s="165">
        <v>5220</v>
      </c>
      <c r="O123" s="162">
        <v>0</v>
      </c>
      <c r="P123" s="162"/>
      <c r="Q123" s="162"/>
      <c r="R123" s="162"/>
      <c r="S123" s="162"/>
      <c r="U123" s="162"/>
      <c r="W123" s="180"/>
    </row>
    <row r="124" spans="1:23">
      <c r="A124" s="160" t="s">
        <v>1444</v>
      </c>
      <c r="B124" s="160" t="s">
        <v>1193</v>
      </c>
      <c r="E124" s="165">
        <v>30153.16</v>
      </c>
      <c r="G124" s="165">
        <v>21231.919999999998</v>
      </c>
      <c r="H124" s="165"/>
      <c r="I124" s="165">
        <v>23595.21</v>
      </c>
      <c r="J124" s="165"/>
      <c r="K124" s="165">
        <v>12581.78</v>
      </c>
      <c r="L124" s="165"/>
      <c r="M124" s="165">
        <v>15064.08</v>
      </c>
      <c r="N124" s="165">
        <v>1791.52</v>
      </c>
      <c r="O124" s="162">
        <v>150</v>
      </c>
      <c r="P124" s="162">
        <v>27323.78</v>
      </c>
      <c r="Q124" s="162">
        <v>28000</v>
      </c>
      <c r="R124" s="162"/>
      <c r="S124" s="162">
        <v>20000</v>
      </c>
      <c r="U124" s="162">
        <v>20000</v>
      </c>
      <c r="W124" s="180"/>
    </row>
    <row r="125" spans="1:23">
      <c r="A125" s="160" t="s">
        <v>1454</v>
      </c>
      <c r="B125" s="160" t="s">
        <v>1034</v>
      </c>
      <c r="E125" s="165">
        <v>4386.5600000000004</v>
      </c>
      <c r="G125" s="165">
        <v>840</v>
      </c>
      <c r="H125" s="165"/>
      <c r="I125" s="165">
        <v>2896</v>
      </c>
      <c r="J125" s="165"/>
      <c r="K125" s="165">
        <v>4685</v>
      </c>
      <c r="L125" s="165"/>
      <c r="M125" s="165">
        <v>6665</v>
      </c>
      <c r="N125" s="165">
        <v>5220</v>
      </c>
      <c r="O125" s="162">
        <v>8110</v>
      </c>
      <c r="P125" s="162">
        <v>18070</v>
      </c>
      <c r="Q125" s="162">
        <v>18000</v>
      </c>
      <c r="R125" s="162"/>
      <c r="S125" s="162">
        <v>18000</v>
      </c>
      <c r="U125" s="162">
        <v>18000</v>
      </c>
      <c r="W125" s="180"/>
    </row>
    <row r="126" spans="1:23" hidden="1">
      <c r="A126" s="160" t="s">
        <v>983</v>
      </c>
      <c r="B126" s="160" t="s">
        <v>994</v>
      </c>
      <c r="E126" s="165">
        <v>15000</v>
      </c>
      <c r="G126" s="165">
        <v>15000</v>
      </c>
      <c r="H126" s="165"/>
      <c r="I126" s="165">
        <v>15000</v>
      </c>
      <c r="J126" s="165"/>
      <c r="K126" s="165">
        <v>15000</v>
      </c>
      <c r="L126" s="165"/>
      <c r="M126" s="165">
        <v>0</v>
      </c>
      <c r="N126" s="165">
        <v>0</v>
      </c>
      <c r="O126" s="162"/>
      <c r="P126" s="162"/>
      <c r="Q126" s="162"/>
      <c r="R126" s="162"/>
      <c r="S126" s="162"/>
      <c r="U126" s="162"/>
      <c r="W126" s="180"/>
    </row>
    <row r="127" spans="1:23" hidden="1">
      <c r="A127" s="160" t="s">
        <v>995</v>
      </c>
      <c r="B127" s="160" t="s">
        <v>996</v>
      </c>
      <c r="E127" s="165">
        <v>15000</v>
      </c>
      <c r="G127" s="165">
        <v>15000</v>
      </c>
      <c r="H127" s="165"/>
      <c r="I127" s="165">
        <v>15000</v>
      </c>
      <c r="J127" s="165"/>
      <c r="K127" s="165">
        <v>15000</v>
      </c>
      <c r="L127" s="165"/>
      <c r="M127" s="165">
        <v>0</v>
      </c>
      <c r="N127" s="165">
        <v>119673.85</v>
      </c>
      <c r="O127" s="162"/>
      <c r="P127" s="162"/>
      <c r="Q127" s="162"/>
      <c r="R127" s="162"/>
      <c r="S127" s="162"/>
      <c r="U127" s="162"/>
      <c r="W127" s="180"/>
    </row>
    <row r="128" spans="1:23" hidden="1">
      <c r="A128" s="160" t="s">
        <v>1457</v>
      </c>
      <c r="B128" s="160" t="s">
        <v>940</v>
      </c>
      <c r="E128" s="165">
        <v>15000</v>
      </c>
      <c r="G128" s="165">
        <v>15000</v>
      </c>
      <c r="H128" s="165"/>
      <c r="I128" s="165">
        <v>15000</v>
      </c>
      <c r="J128" s="165"/>
      <c r="K128" s="165">
        <v>0</v>
      </c>
      <c r="L128" s="165"/>
      <c r="M128" s="165">
        <v>611.25</v>
      </c>
      <c r="N128" s="165">
        <v>653</v>
      </c>
      <c r="O128" s="162">
        <v>368</v>
      </c>
      <c r="P128" s="162"/>
      <c r="Q128" s="162"/>
      <c r="R128" s="162"/>
      <c r="S128" s="162"/>
      <c r="U128" s="162"/>
      <c r="W128" s="180"/>
    </row>
    <row r="129" spans="1:60" hidden="1">
      <c r="A129" s="160" t="s">
        <v>1459</v>
      </c>
      <c r="B129" s="160" t="s">
        <v>1247</v>
      </c>
      <c r="E129" s="165"/>
      <c r="G129" s="165"/>
      <c r="H129" s="165"/>
      <c r="I129" s="165"/>
      <c r="J129" s="165"/>
      <c r="K129" s="165"/>
      <c r="L129" s="165"/>
      <c r="M129" s="165"/>
      <c r="N129" s="165"/>
      <c r="O129" s="162"/>
      <c r="P129" s="162"/>
      <c r="Q129" s="162"/>
      <c r="R129" s="162"/>
      <c r="S129" s="162"/>
      <c r="U129" s="162"/>
      <c r="W129" s="180"/>
    </row>
    <row r="130" spans="1:60" hidden="1">
      <c r="A130" s="160" t="s">
        <v>1460</v>
      </c>
      <c r="B130" s="160" t="s">
        <v>1075</v>
      </c>
      <c r="E130" s="165">
        <v>186210.62</v>
      </c>
      <c r="G130" s="165">
        <v>5537.75</v>
      </c>
      <c r="H130" s="165"/>
      <c r="I130" s="165">
        <v>0</v>
      </c>
      <c r="J130" s="165"/>
      <c r="K130" s="165">
        <v>31535.09</v>
      </c>
      <c r="L130" s="165"/>
      <c r="M130" s="165">
        <v>25483.9</v>
      </c>
      <c r="N130" s="165">
        <v>0</v>
      </c>
      <c r="O130" s="162">
        <v>49972.9</v>
      </c>
      <c r="P130" s="162"/>
      <c r="Q130" s="162"/>
      <c r="R130" s="162"/>
      <c r="S130" s="162"/>
      <c r="U130" s="162"/>
      <c r="W130" s="180"/>
    </row>
    <row r="131" spans="1:60" hidden="1">
      <c r="A131" s="160" t="s">
        <v>1244</v>
      </c>
      <c r="B131" s="160" t="s">
        <v>1245</v>
      </c>
      <c r="E131" s="165"/>
      <c r="G131" s="165"/>
      <c r="H131" s="165"/>
      <c r="I131" s="165"/>
      <c r="J131" s="165"/>
      <c r="K131" s="165"/>
      <c r="L131" s="165"/>
      <c r="M131" s="165"/>
      <c r="N131" s="165"/>
      <c r="O131" s="162"/>
      <c r="P131" s="162"/>
      <c r="Q131" s="162"/>
      <c r="R131" s="162"/>
      <c r="S131" s="162"/>
      <c r="U131" s="162"/>
      <c r="W131" s="180"/>
    </row>
    <row r="132" spans="1:60">
      <c r="A132" s="160" t="s">
        <v>1101</v>
      </c>
      <c r="B132" s="160" t="s">
        <v>1102</v>
      </c>
      <c r="E132" s="165">
        <v>0</v>
      </c>
      <c r="G132" s="165">
        <v>7975</v>
      </c>
      <c r="H132" s="165"/>
      <c r="I132" s="165">
        <v>0</v>
      </c>
      <c r="J132" s="165"/>
      <c r="K132" s="165">
        <v>6256.06</v>
      </c>
      <c r="L132" s="165"/>
      <c r="M132" s="165">
        <v>17808.990000000002</v>
      </c>
      <c r="N132" s="165">
        <v>0</v>
      </c>
      <c r="O132" s="162">
        <v>961.5</v>
      </c>
      <c r="P132" s="162">
        <v>183.96</v>
      </c>
      <c r="Q132" s="162">
        <v>0</v>
      </c>
      <c r="R132" s="162"/>
      <c r="S132" s="162">
        <v>0</v>
      </c>
      <c r="U132" s="162">
        <v>0</v>
      </c>
      <c r="W132" s="180"/>
    </row>
    <row r="133" spans="1:60">
      <c r="A133" s="160" t="s">
        <v>155</v>
      </c>
      <c r="B133" s="160" t="s">
        <v>479</v>
      </c>
      <c r="E133" s="165">
        <v>35214.69</v>
      </c>
      <c r="G133" s="165">
        <v>29907</v>
      </c>
      <c r="H133" s="165"/>
      <c r="I133" s="165">
        <v>25790</v>
      </c>
      <c r="J133" s="165"/>
      <c r="K133" s="165">
        <v>22120.560000000001</v>
      </c>
      <c r="L133" s="165"/>
      <c r="M133" s="165">
        <v>56464.06</v>
      </c>
      <c r="N133" s="165">
        <v>23276</v>
      </c>
      <c r="O133" s="162">
        <v>38381.160000000003</v>
      </c>
      <c r="P133" s="162">
        <v>84738.12</v>
      </c>
      <c r="Q133" s="162">
        <v>86450</v>
      </c>
      <c r="R133" s="162"/>
      <c r="S133" s="162">
        <v>98100</v>
      </c>
      <c r="T133" s="414"/>
      <c r="U133" s="162">
        <v>98950</v>
      </c>
      <c r="W133" s="180"/>
    </row>
    <row r="134" spans="1:60" hidden="1">
      <c r="A134" s="160" t="s">
        <v>1001</v>
      </c>
      <c r="B134" s="160" t="s">
        <v>1002</v>
      </c>
      <c r="E134" s="165">
        <v>186210.62</v>
      </c>
      <c r="G134" s="165">
        <v>5537.75</v>
      </c>
      <c r="H134" s="165"/>
      <c r="I134" s="165">
        <v>15686.92</v>
      </c>
      <c r="J134" s="165"/>
      <c r="K134" s="165">
        <v>3797.06</v>
      </c>
      <c r="L134" s="165"/>
      <c r="M134" s="165">
        <v>0</v>
      </c>
      <c r="N134" s="165">
        <v>0</v>
      </c>
      <c r="O134" s="162">
        <v>16208.13</v>
      </c>
      <c r="P134" s="162">
        <v>0</v>
      </c>
      <c r="Q134" s="162">
        <v>0</v>
      </c>
      <c r="R134" s="162"/>
      <c r="S134" s="162">
        <v>0</v>
      </c>
      <c r="U134" s="162">
        <v>0</v>
      </c>
      <c r="V134" s="181">
        <v>0</v>
      </c>
      <c r="W134" s="180">
        <f>S134-Q134</f>
        <v>0</v>
      </c>
    </row>
    <row r="135" spans="1:60" hidden="1">
      <c r="A135" s="160" t="s">
        <v>885</v>
      </c>
      <c r="B135" s="160" t="s">
        <v>886</v>
      </c>
      <c r="E135" s="165">
        <v>35214.69</v>
      </c>
      <c r="G135" s="165">
        <v>29907</v>
      </c>
      <c r="H135" s="165"/>
      <c r="I135" s="165">
        <v>28045.86</v>
      </c>
      <c r="J135" s="165"/>
      <c r="K135" s="165">
        <v>0</v>
      </c>
      <c r="L135" s="165"/>
      <c r="M135" s="165">
        <v>358915.86</v>
      </c>
      <c r="N135" s="165">
        <v>0</v>
      </c>
      <c r="O135" s="162"/>
      <c r="P135" s="162"/>
      <c r="Q135" s="162"/>
      <c r="R135" s="162"/>
      <c r="S135" s="162"/>
      <c r="U135" s="162"/>
      <c r="V135" s="181">
        <v>0</v>
      </c>
      <c r="W135" s="180">
        <f>S135-Q135</f>
        <v>0</v>
      </c>
    </row>
    <row r="136" spans="1:60" ht="15.75">
      <c r="B136" s="188" t="s">
        <v>142</v>
      </c>
      <c r="C136" s="292"/>
      <c r="D136" s="393">
        <f>SUM(D95:D128)</f>
        <v>0</v>
      </c>
      <c r="E136" s="287">
        <f>SUM(E95:E135)</f>
        <v>709072.30999999982</v>
      </c>
      <c r="F136" s="393"/>
      <c r="G136" s="287">
        <f>SUM(G95:G135)</f>
        <v>288794.87</v>
      </c>
      <c r="H136" s="287"/>
      <c r="I136" s="287">
        <f>SUM(I95:I135)</f>
        <v>329457.30999999994</v>
      </c>
      <c r="J136" s="287"/>
      <c r="K136" s="287">
        <f>SUM(K95:K135)</f>
        <v>255713.85</v>
      </c>
      <c r="L136" s="287"/>
      <c r="M136" s="287">
        <f>SUM(M95:M135)</f>
        <v>627316.82999999996</v>
      </c>
      <c r="N136" s="287">
        <f>SUM(N95:N135)</f>
        <v>281019.82</v>
      </c>
      <c r="O136" s="285">
        <f>SUM(O95:O135)</f>
        <v>315977.05000000005</v>
      </c>
      <c r="P136" s="333">
        <f t="shared" ref="P136:U136" si="32">SUM(P95:P134)</f>
        <v>497572.71</v>
      </c>
      <c r="Q136" s="333">
        <f t="shared" si="32"/>
        <v>423927.5</v>
      </c>
      <c r="R136" s="333">
        <f t="shared" si="32"/>
        <v>0</v>
      </c>
      <c r="S136" s="333">
        <f t="shared" si="32"/>
        <v>603665.34000000008</v>
      </c>
      <c r="T136" s="333">
        <f t="shared" si="32"/>
        <v>0</v>
      </c>
      <c r="U136" s="333">
        <f t="shared" si="32"/>
        <v>502600</v>
      </c>
      <c r="V136" s="384">
        <f>(U136-Q136)/Q136</f>
        <v>0.18558008149978475</v>
      </c>
      <c r="W136" s="190">
        <f>SUM(W95:W135)</f>
        <v>0</v>
      </c>
    </row>
    <row r="137" spans="1:60" ht="15.75">
      <c r="B137" s="188"/>
      <c r="C137" s="292"/>
      <c r="D137" s="391"/>
      <c r="E137" s="193"/>
      <c r="F137" s="391"/>
      <c r="G137" s="193"/>
      <c r="H137" s="193"/>
      <c r="I137" s="193"/>
      <c r="J137" s="193"/>
      <c r="K137" s="193"/>
      <c r="L137" s="193"/>
      <c r="M137" s="193"/>
      <c r="N137" s="193"/>
      <c r="O137" s="391"/>
      <c r="P137" s="391"/>
      <c r="Q137" s="292"/>
      <c r="R137" s="292"/>
      <c r="S137" s="292"/>
      <c r="T137" s="292"/>
      <c r="U137" s="292"/>
      <c r="V137" s="394"/>
      <c r="W137" s="180"/>
    </row>
    <row r="138" spans="1:60">
      <c r="A138" s="160" t="s">
        <v>776</v>
      </c>
      <c r="B138" s="160" t="s">
        <v>712</v>
      </c>
      <c r="C138" s="160"/>
      <c r="D138" s="165"/>
      <c r="E138" s="165">
        <v>69297.91</v>
      </c>
      <c r="F138" s="165"/>
      <c r="G138" s="165">
        <v>0</v>
      </c>
      <c r="H138" s="165"/>
      <c r="I138" s="165">
        <v>39.64</v>
      </c>
      <c r="J138" s="165"/>
      <c r="K138" s="165">
        <v>0</v>
      </c>
      <c r="L138" s="165"/>
      <c r="M138" s="165">
        <v>0</v>
      </c>
      <c r="N138" s="165">
        <v>0</v>
      </c>
      <c r="O138" s="162">
        <v>511528.9</v>
      </c>
      <c r="P138" s="162">
        <v>146596.10999999999</v>
      </c>
      <c r="Q138" s="179">
        <v>0</v>
      </c>
      <c r="R138" s="162"/>
      <c r="S138" s="162">
        <v>0</v>
      </c>
      <c r="U138" s="179">
        <v>0</v>
      </c>
      <c r="V138" s="181">
        <v>0</v>
      </c>
      <c r="W138" s="180">
        <f>S138-Q138</f>
        <v>0</v>
      </c>
    </row>
    <row r="139" spans="1:60" s="188" customFormat="1" ht="15.75">
      <c r="B139" s="408" t="s">
        <v>1031</v>
      </c>
      <c r="D139" s="287"/>
      <c r="E139" s="287" t="e">
        <f>SUM(#REF!)</f>
        <v>#REF!</v>
      </c>
      <c r="F139" s="287"/>
      <c r="G139" s="287">
        <f>SUM(G138:G138)</f>
        <v>0</v>
      </c>
      <c r="H139" s="287"/>
      <c r="I139" s="287">
        <f>SUM(I138:I138)</f>
        <v>39.64</v>
      </c>
      <c r="J139" s="287"/>
      <c r="K139" s="287">
        <f>SUM(K138:K138)</f>
        <v>0</v>
      </c>
      <c r="L139" s="287"/>
      <c r="M139" s="287">
        <f t="shared" ref="M139:S139" si="33">SUM(M138:M138)</f>
        <v>0</v>
      </c>
      <c r="N139" s="287">
        <f t="shared" si="33"/>
        <v>0</v>
      </c>
      <c r="O139" s="285">
        <f t="shared" si="33"/>
        <v>511528.9</v>
      </c>
      <c r="P139" s="333">
        <f>SUM(P138:P138)</f>
        <v>146596.10999999999</v>
      </c>
      <c r="Q139" s="333">
        <v>0</v>
      </c>
      <c r="R139" s="333">
        <f t="shared" si="33"/>
        <v>0</v>
      </c>
      <c r="S139" s="333">
        <f t="shared" si="33"/>
        <v>0</v>
      </c>
      <c r="T139" s="333"/>
      <c r="U139" s="333">
        <f>SUM(U138:U138)</f>
        <v>0</v>
      </c>
      <c r="V139" s="395">
        <f>SUM(V138:V138)</f>
        <v>0</v>
      </c>
      <c r="W139" s="190">
        <f>SUM(W138:W138)</f>
        <v>0</v>
      </c>
      <c r="X139" s="160"/>
      <c r="Y139" s="160"/>
      <c r="Z139" s="160"/>
      <c r="AA139" s="160"/>
      <c r="AB139" s="160"/>
      <c r="AC139" s="160"/>
      <c r="AD139" s="160"/>
      <c r="AE139" s="160"/>
      <c r="AF139" s="160"/>
      <c r="AG139" s="160"/>
      <c r="AH139" s="160"/>
      <c r="AI139" s="160"/>
      <c r="AJ139" s="160"/>
      <c r="AK139" s="160"/>
      <c r="AL139" s="160"/>
      <c r="AM139" s="160"/>
      <c r="AN139" s="160"/>
      <c r="AO139" s="160"/>
      <c r="AP139" s="160"/>
      <c r="AQ139" s="160"/>
      <c r="AR139" s="160"/>
      <c r="AS139" s="160"/>
      <c r="AT139" s="160"/>
      <c r="AU139" s="160"/>
      <c r="AV139" s="160"/>
      <c r="AW139" s="160"/>
      <c r="AX139" s="160"/>
      <c r="AY139" s="160"/>
      <c r="AZ139" s="160"/>
      <c r="BA139" s="160"/>
      <c r="BB139" s="160"/>
      <c r="BC139" s="160"/>
      <c r="BD139" s="160"/>
      <c r="BE139" s="160"/>
      <c r="BF139" s="160"/>
      <c r="BG139" s="160"/>
      <c r="BH139" s="160"/>
    </row>
    <row r="140" spans="1:60" ht="16.5" thickBot="1">
      <c r="A140" s="188"/>
      <c r="E140" s="165"/>
      <c r="G140" s="165"/>
      <c r="H140" s="165"/>
      <c r="I140" s="165"/>
      <c r="J140" s="165"/>
      <c r="K140" s="165"/>
      <c r="L140" s="165"/>
      <c r="M140" s="165"/>
      <c r="N140" s="165"/>
      <c r="Q140" s="162"/>
      <c r="R140" s="162"/>
      <c r="S140" s="162"/>
      <c r="U140" s="162"/>
      <c r="W140" s="180"/>
    </row>
    <row r="141" spans="1:60" s="188" customFormat="1" ht="16.5" thickBot="1">
      <c r="A141" s="262" t="s">
        <v>1351</v>
      </c>
      <c r="B141" s="262"/>
      <c r="C141" s="292"/>
      <c r="D141" s="335"/>
      <c r="E141" s="306" t="e">
        <f>SUM(E33:E140)/2</f>
        <v>#REF!</v>
      </c>
      <c r="F141" s="335"/>
      <c r="G141" s="306">
        <f>G37+G40+G47+G59+G76+G80+G93+G136+G139</f>
        <v>2220355.6900000004</v>
      </c>
      <c r="H141" s="306"/>
      <c r="I141" s="306">
        <f>I37+I40+I47+I59+I76+I80+I93+I136+I139</f>
        <v>2235124.12</v>
      </c>
      <c r="J141" s="306"/>
      <c r="K141" s="306">
        <f>K37+K40+K47+K59+K76+K80+K93+K136+K139</f>
        <v>2475032.08</v>
      </c>
      <c r="L141" s="306"/>
      <c r="M141" s="306">
        <f>M37+M40+M47+M59+M76+M80+M93+M136+M139</f>
        <v>3025052.03</v>
      </c>
      <c r="N141" s="306">
        <f>N37+N40+N47+N59+N76+N80+N93+N136+N139</f>
        <v>2967910.5399999996</v>
      </c>
      <c r="O141" s="335">
        <f>O37+O40+O47+O59+O76+O80+O93+O136+O139</f>
        <v>3750644.4299999992</v>
      </c>
      <c r="P141" s="396">
        <f>P136+P93+P80+P76+P59+P47+P40+P37</f>
        <v>5220588.1899999995</v>
      </c>
      <c r="Q141" s="396">
        <f>Q136+Q93+Q80+Q76+Q59+Q47+Q40+Q37</f>
        <v>4924575.18</v>
      </c>
      <c r="R141" s="308">
        <f>R37+R40+R47+R59+R76+R80+R93+R136+R139</f>
        <v>0</v>
      </c>
      <c r="S141" s="308">
        <f>S37+S40+S47+S59+S76+S80+S93+S136+S139</f>
        <v>5059007.8699999992</v>
      </c>
      <c r="T141" s="396"/>
      <c r="U141" s="396">
        <f>U37+U40+U47+U59+U76+U80+U93+U136+U139</f>
        <v>5432300</v>
      </c>
      <c r="V141" s="397">
        <f>(U141-Q141)/Q141</f>
        <v>0.1031002272159444</v>
      </c>
      <c r="W141" s="195">
        <f>W37+W40+W47+W59+W76+W80+W93+W136+W139</f>
        <v>-19056.47</v>
      </c>
    </row>
    <row r="142" spans="1:60" s="188" customFormat="1" ht="16.5" thickTop="1">
      <c r="B142" s="262"/>
      <c r="C142" s="292"/>
      <c r="D142" s="292"/>
      <c r="E142" s="193"/>
      <c r="F142" s="292"/>
      <c r="G142" s="193"/>
      <c r="H142" s="193"/>
      <c r="I142" s="193"/>
      <c r="J142" s="193"/>
      <c r="K142" s="193"/>
      <c r="L142" s="193"/>
      <c r="M142" s="193"/>
      <c r="N142" s="193"/>
      <c r="O142" s="391"/>
      <c r="P142" s="391"/>
      <c r="Q142" s="292"/>
      <c r="R142" s="292"/>
      <c r="S142" s="292"/>
      <c r="T142" s="292"/>
      <c r="U142" s="292"/>
      <c r="V142" s="394"/>
      <c r="W142" s="180"/>
    </row>
    <row r="143" spans="1:60" s="188" customFormat="1" ht="16.5" thickBot="1">
      <c r="A143" s="422" t="s">
        <v>1352</v>
      </c>
      <c r="B143" s="422"/>
      <c r="C143" s="292"/>
      <c r="D143" s="292"/>
      <c r="E143" s="193"/>
      <c r="F143" s="292"/>
      <c r="G143" s="193"/>
      <c r="H143" s="193"/>
      <c r="I143" s="193"/>
      <c r="J143" s="193"/>
      <c r="K143" s="193"/>
      <c r="L143" s="193"/>
      <c r="M143" s="193"/>
      <c r="N143" s="193"/>
      <c r="O143" s="391"/>
      <c r="P143" s="391"/>
      <c r="Q143" s="292"/>
      <c r="R143" s="292"/>
      <c r="S143" s="292"/>
      <c r="T143" s="292"/>
      <c r="U143" s="292"/>
      <c r="V143" s="394"/>
      <c r="W143" s="180"/>
    </row>
    <row r="144" spans="1:60" s="188" customFormat="1" ht="15.75">
      <c r="C144" s="292"/>
      <c r="D144" s="292"/>
      <c r="E144" s="391"/>
      <c r="F144" s="292"/>
      <c r="G144" s="193"/>
      <c r="H144" s="193"/>
      <c r="I144" s="193"/>
      <c r="J144" s="193"/>
      <c r="K144" s="193"/>
      <c r="L144" s="193"/>
      <c r="M144" s="193"/>
      <c r="N144" s="193"/>
      <c r="O144" s="391"/>
      <c r="P144" s="391"/>
      <c r="Q144" s="292"/>
      <c r="R144" s="292"/>
      <c r="S144" s="292"/>
      <c r="T144" s="292"/>
      <c r="U144" s="292"/>
      <c r="V144" s="394"/>
      <c r="W144" s="180"/>
    </row>
    <row r="145" spans="1:24">
      <c r="G145" s="165"/>
      <c r="H145" s="165"/>
      <c r="I145" s="165"/>
      <c r="J145" s="165"/>
      <c r="K145" s="165"/>
      <c r="L145" s="165"/>
      <c r="M145" s="165"/>
      <c r="N145" s="165"/>
      <c r="Q145" s="162"/>
      <c r="R145" s="162"/>
      <c r="S145" s="162"/>
      <c r="U145" s="162"/>
      <c r="W145" s="180"/>
    </row>
    <row r="146" spans="1:24" s="188" customFormat="1" ht="15.75">
      <c r="A146" s="423" t="s">
        <v>1368</v>
      </c>
      <c r="B146" s="423"/>
      <c r="C146" s="423"/>
      <c r="D146" s="162"/>
      <c r="E146" s="331"/>
      <c r="F146" s="162"/>
      <c r="G146" s="260"/>
      <c r="H146" s="165"/>
      <c r="I146" s="260"/>
      <c r="J146" s="165"/>
      <c r="K146" s="260"/>
      <c r="L146" s="165"/>
      <c r="M146" s="260"/>
      <c r="N146" s="260"/>
      <c r="O146" s="331"/>
      <c r="P146" s="331"/>
      <c r="Q146" s="162"/>
      <c r="R146" s="179"/>
      <c r="S146" s="162"/>
      <c r="T146" s="162"/>
      <c r="U146" s="162"/>
      <c r="V146" s="181"/>
      <c r="W146" s="180"/>
      <c r="X146" s="160"/>
    </row>
    <row r="147" spans="1:24" s="196" customFormat="1">
      <c r="A147" s="420" t="s">
        <v>433</v>
      </c>
      <c r="B147" s="160" t="s">
        <v>381</v>
      </c>
      <c r="C147" s="160"/>
      <c r="D147" s="165"/>
      <c r="E147" s="165">
        <v>96959</v>
      </c>
      <c r="F147" s="165"/>
      <c r="G147" s="165">
        <v>96118.05</v>
      </c>
      <c r="H147" s="165"/>
      <c r="I147" s="165">
        <v>110641.48</v>
      </c>
      <c r="J147" s="165"/>
      <c r="K147" s="165">
        <v>122064.1</v>
      </c>
      <c r="L147" s="165"/>
      <c r="M147" s="165">
        <v>107868</v>
      </c>
      <c r="N147" s="165">
        <v>64761.39</v>
      </c>
      <c r="O147" s="162">
        <v>75651.399999999994</v>
      </c>
      <c r="P147" s="162">
        <v>245733.64</v>
      </c>
      <c r="Q147" s="178">
        <v>259575</v>
      </c>
      <c r="R147" s="178"/>
      <c r="S147" s="178">
        <v>259575</v>
      </c>
      <c r="T147" s="165"/>
      <c r="U147" s="178">
        <v>291210</v>
      </c>
      <c r="V147" s="181">
        <f t="shared" ref="V147:V178" si="34">(U147-Q147)/Q147</f>
        <v>0.12187229124530483</v>
      </c>
      <c r="W147" s="180">
        <f t="shared" ref="W147:W234" si="35">S147-Q147</f>
        <v>0</v>
      </c>
      <c r="X147" s="160"/>
    </row>
    <row r="148" spans="1:24">
      <c r="A148" s="161" t="s">
        <v>157</v>
      </c>
      <c r="B148" s="160" t="s">
        <v>158</v>
      </c>
      <c r="C148" s="160"/>
      <c r="D148" s="165"/>
      <c r="E148" s="165">
        <v>369</v>
      </c>
      <c r="F148" s="165"/>
      <c r="G148" s="165">
        <v>26.58</v>
      </c>
      <c r="H148" s="165"/>
      <c r="I148" s="165">
        <v>162.85</v>
      </c>
      <c r="J148" s="165"/>
      <c r="K148" s="165">
        <v>88.1</v>
      </c>
      <c r="L148" s="165"/>
      <c r="M148" s="165">
        <v>54.77</v>
      </c>
      <c r="N148" s="165">
        <v>257.5</v>
      </c>
      <c r="O148" s="162">
        <v>561.07000000000005</v>
      </c>
      <c r="P148" s="162">
        <v>1372.25</v>
      </c>
      <c r="Q148" s="178">
        <v>1250</v>
      </c>
      <c r="R148" s="178"/>
      <c r="S148" s="178">
        <v>1250</v>
      </c>
      <c r="T148" s="165"/>
      <c r="U148" s="178">
        <v>1250</v>
      </c>
      <c r="V148" s="181">
        <f t="shared" si="34"/>
        <v>0</v>
      </c>
      <c r="W148" s="180">
        <f t="shared" si="35"/>
        <v>0</v>
      </c>
    </row>
    <row r="149" spans="1:24">
      <c r="A149" s="161" t="s">
        <v>159</v>
      </c>
      <c r="B149" s="160" t="s">
        <v>105</v>
      </c>
      <c r="C149" s="160"/>
      <c r="D149" s="165"/>
      <c r="E149" s="165">
        <v>6771</v>
      </c>
      <c r="F149" s="165"/>
      <c r="G149" s="165">
        <v>7219.15</v>
      </c>
      <c r="H149" s="165"/>
      <c r="I149" s="165">
        <v>7693.02</v>
      </c>
      <c r="J149" s="165"/>
      <c r="K149" s="165">
        <v>7425.2</v>
      </c>
      <c r="L149" s="165"/>
      <c r="M149" s="165">
        <v>6518.12</v>
      </c>
      <c r="N149" s="165">
        <v>4237.46</v>
      </c>
      <c r="O149" s="162">
        <v>4309.91</v>
      </c>
      <c r="P149" s="162">
        <v>14834.85</v>
      </c>
      <c r="Q149" s="178">
        <v>16171</v>
      </c>
      <c r="R149" s="178"/>
      <c r="S149" s="178">
        <v>16171</v>
      </c>
      <c r="T149" s="165"/>
      <c r="U149" s="178">
        <v>18132</v>
      </c>
      <c r="V149" s="181">
        <f t="shared" si="34"/>
        <v>0.12126646465895739</v>
      </c>
      <c r="W149" s="180">
        <f t="shared" si="35"/>
        <v>0</v>
      </c>
    </row>
    <row r="150" spans="1:24">
      <c r="A150" s="161" t="s">
        <v>160</v>
      </c>
      <c r="B150" s="160" t="s">
        <v>67</v>
      </c>
      <c r="C150" s="160"/>
      <c r="D150" s="165"/>
      <c r="E150" s="165">
        <v>1646</v>
      </c>
      <c r="F150" s="165"/>
      <c r="G150" s="165">
        <v>1688.3</v>
      </c>
      <c r="H150" s="165"/>
      <c r="I150" s="165">
        <v>1799.13</v>
      </c>
      <c r="J150" s="165"/>
      <c r="K150" s="165">
        <v>1736.63</v>
      </c>
      <c r="L150" s="165"/>
      <c r="M150" s="165">
        <v>1524.61</v>
      </c>
      <c r="N150" s="165">
        <v>966.34</v>
      </c>
      <c r="O150" s="162">
        <v>1007.98</v>
      </c>
      <c r="P150" s="162">
        <v>3469.63</v>
      </c>
      <c r="Q150" s="178">
        <v>3782</v>
      </c>
      <c r="R150" s="178"/>
      <c r="S150" s="178">
        <v>3782</v>
      </c>
      <c r="T150" s="165"/>
      <c r="U150" s="178">
        <v>4240</v>
      </c>
      <c r="V150" s="181">
        <f t="shared" si="34"/>
        <v>0.12109994711792703</v>
      </c>
      <c r="W150" s="180">
        <f t="shared" si="35"/>
        <v>0</v>
      </c>
    </row>
    <row r="151" spans="1:24">
      <c r="A151" s="161" t="s">
        <v>161</v>
      </c>
      <c r="B151" s="160" t="s">
        <v>162</v>
      </c>
      <c r="C151" s="160"/>
      <c r="D151" s="165"/>
      <c r="E151" s="165">
        <v>13059</v>
      </c>
      <c r="F151" s="165"/>
      <c r="G151" s="165">
        <v>16119.72</v>
      </c>
      <c r="H151" s="165"/>
      <c r="I151" s="165">
        <v>22595.51</v>
      </c>
      <c r="J151" s="165"/>
      <c r="K151" s="165">
        <v>21554.02</v>
      </c>
      <c r="L151" s="165"/>
      <c r="M151" s="165">
        <v>18709.37</v>
      </c>
      <c r="N151" s="165">
        <v>15523.91</v>
      </c>
      <c r="O151" s="162">
        <v>9548.06</v>
      </c>
      <c r="P151" s="162">
        <v>24664.01</v>
      </c>
      <c r="Q151" s="178">
        <v>30276</v>
      </c>
      <c r="R151" s="165"/>
      <c r="S151" s="178">
        <v>33000</v>
      </c>
      <c r="T151" s="165"/>
      <c r="U151" s="178">
        <v>32698</v>
      </c>
      <c r="V151" s="181">
        <f t="shared" si="34"/>
        <v>7.9997357643017575E-2</v>
      </c>
      <c r="W151" s="180">
        <f t="shared" si="35"/>
        <v>2724</v>
      </c>
    </row>
    <row r="152" spans="1:24">
      <c r="A152" s="161" t="s">
        <v>163</v>
      </c>
      <c r="B152" s="160" t="s">
        <v>69</v>
      </c>
      <c r="C152" s="160"/>
      <c r="D152" s="165"/>
      <c r="E152" s="165">
        <v>1010</v>
      </c>
      <c r="F152" s="165"/>
      <c r="G152" s="165">
        <v>897.17</v>
      </c>
      <c r="H152" s="165"/>
      <c r="I152" s="165">
        <v>647.99</v>
      </c>
      <c r="J152" s="165"/>
      <c r="K152" s="165">
        <v>-125.72</v>
      </c>
      <c r="L152" s="165"/>
      <c r="M152" s="165">
        <v>640.99</v>
      </c>
      <c r="N152" s="165">
        <v>-100</v>
      </c>
      <c r="O152" s="162">
        <v>270.91000000000003</v>
      </c>
      <c r="P152" s="162">
        <v>1201.8900000000001</v>
      </c>
      <c r="Q152" s="178">
        <v>1386</v>
      </c>
      <c r="R152" s="178"/>
      <c r="S152" s="178">
        <v>70</v>
      </c>
      <c r="T152" s="165"/>
      <c r="U152" s="178">
        <v>495</v>
      </c>
      <c r="V152" s="181">
        <f t="shared" si="34"/>
        <v>-0.6428571428571429</v>
      </c>
      <c r="W152" s="180">
        <f t="shared" si="35"/>
        <v>-1316</v>
      </c>
    </row>
    <row r="153" spans="1:24">
      <c r="A153" s="161" t="s">
        <v>164</v>
      </c>
      <c r="B153" s="160" t="s">
        <v>165</v>
      </c>
      <c r="C153" s="160"/>
      <c r="D153" s="165"/>
      <c r="E153" s="165">
        <v>5607</v>
      </c>
      <c r="F153" s="165"/>
      <c r="G153" s="165">
        <v>4388.58</v>
      </c>
      <c r="H153" s="165"/>
      <c r="I153" s="165">
        <v>4199.3999999999996</v>
      </c>
      <c r="J153" s="165"/>
      <c r="K153" s="165">
        <v>4128.1099999999997</v>
      </c>
      <c r="L153" s="165"/>
      <c r="M153" s="165">
        <v>-739.38</v>
      </c>
      <c r="N153" s="165">
        <v>825.6</v>
      </c>
      <c r="O153" s="162">
        <v>886.94</v>
      </c>
      <c r="P153" s="162">
        <v>19640</v>
      </c>
      <c r="Q153" s="178">
        <v>19275</v>
      </c>
      <c r="R153" s="178"/>
      <c r="S153" s="178">
        <v>19275</v>
      </c>
      <c r="T153" s="165"/>
      <c r="U153" s="178">
        <v>20501</v>
      </c>
      <c r="V153" s="181">
        <f t="shared" si="34"/>
        <v>6.3605706874189358E-2</v>
      </c>
      <c r="W153" s="180">
        <f t="shared" si="35"/>
        <v>0</v>
      </c>
    </row>
    <row r="154" spans="1:24">
      <c r="A154" s="161" t="s">
        <v>166</v>
      </c>
      <c r="B154" s="160" t="s">
        <v>106</v>
      </c>
      <c r="C154" s="160"/>
      <c r="D154" s="253"/>
      <c r="E154" s="165">
        <v>1190</v>
      </c>
      <c r="F154" s="253"/>
      <c r="G154" s="165">
        <v>-2546.4899999999998</v>
      </c>
      <c r="H154" s="253"/>
      <c r="I154" s="165">
        <v>655.86</v>
      </c>
      <c r="J154" s="253"/>
      <c r="K154" s="165">
        <v>368</v>
      </c>
      <c r="L154" s="253"/>
      <c r="M154" s="165">
        <v>-650.14</v>
      </c>
      <c r="N154" s="165">
        <v>356.66</v>
      </c>
      <c r="O154" s="162">
        <v>-221.98</v>
      </c>
      <c r="P154" s="162">
        <v>1397.11</v>
      </c>
      <c r="Q154" s="178">
        <v>607</v>
      </c>
      <c r="R154" s="178"/>
      <c r="S154" s="178">
        <v>624</v>
      </c>
      <c r="T154" s="253"/>
      <c r="U154" s="178">
        <v>691</v>
      </c>
      <c r="V154" s="181">
        <f t="shared" si="34"/>
        <v>0.13838550247116968</v>
      </c>
      <c r="W154" s="180">
        <f t="shared" si="35"/>
        <v>17</v>
      </c>
    </row>
    <row r="155" spans="1:24">
      <c r="A155" s="161" t="s">
        <v>248</v>
      </c>
      <c r="B155" s="160" t="s">
        <v>392</v>
      </c>
      <c r="C155" s="160"/>
      <c r="D155" s="253"/>
      <c r="E155" s="165">
        <v>218</v>
      </c>
      <c r="F155" s="253"/>
      <c r="G155" s="165">
        <v>251.09</v>
      </c>
      <c r="H155" s="253"/>
      <c r="I155" s="165">
        <v>270.26</v>
      </c>
      <c r="J155" s="253"/>
      <c r="K155" s="165">
        <v>239.6</v>
      </c>
      <c r="L155" s="253"/>
      <c r="M155" s="165">
        <v>272.67</v>
      </c>
      <c r="N155" s="165">
        <v>110.2</v>
      </c>
      <c r="O155" s="162">
        <v>75.36</v>
      </c>
      <c r="P155" s="162">
        <v>230.4</v>
      </c>
      <c r="Q155" s="178">
        <v>238</v>
      </c>
      <c r="R155" s="178"/>
      <c r="S155" s="178">
        <v>243</v>
      </c>
      <c r="T155" s="253"/>
      <c r="U155" s="178">
        <v>224</v>
      </c>
      <c r="V155" s="181">
        <f t="shared" si="34"/>
        <v>-5.8823529411764705E-2</v>
      </c>
      <c r="W155" s="180">
        <f t="shared" si="35"/>
        <v>5</v>
      </c>
    </row>
    <row r="156" spans="1:24">
      <c r="A156" s="161" t="s">
        <v>167</v>
      </c>
      <c r="B156" s="160" t="s">
        <v>445</v>
      </c>
      <c r="C156" s="160"/>
      <c r="D156" s="165"/>
      <c r="E156" s="165">
        <v>26412</v>
      </c>
      <c r="F156" s="165"/>
      <c r="G156" s="165">
        <v>11012</v>
      </c>
      <c r="H156" s="165"/>
      <c r="I156" s="165">
        <v>9772</v>
      </c>
      <c r="J156" s="165"/>
      <c r="K156" s="165">
        <v>0</v>
      </c>
      <c r="L156" s="165"/>
      <c r="M156" s="165">
        <v>0</v>
      </c>
      <c r="N156" s="165">
        <v>4161.75</v>
      </c>
      <c r="O156" s="162">
        <v>3250</v>
      </c>
      <c r="P156" s="162">
        <v>8625</v>
      </c>
      <c r="Q156" s="178">
        <v>7500</v>
      </c>
      <c r="R156" s="165"/>
      <c r="S156" s="165">
        <v>10000</v>
      </c>
      <c r="T156" s="165"/>
      <c r="U156" s="178">
        <v>10000</v>
      </c>
      <c r="V156" s="181">
        <f t="shared" si="34"/>
        <v>0.33333333333333331</v>
      </c>
      <c r="W156" s="180">
        <f t="shared" si="35"/>
        <v>2500</v>
      </c>
    </row>
    <row r="157" spans="1:24">
      <c r="A157" s="161" t="s">
        <v>282</v>
      </c>
      <c r="B157" s="160" t="s">
        <v>368</v>
      </c>
      <c r="C157" s="160"/>
      <c r="D157" s="165"/>
      <c r="E157" s="165">
        <v>10000</v>
      </c>
      <c r="F157" s="165"/>
      <c r="G157" s="165">
        <v>8500</v>
      </c>
      <c r="H157" s="165"/>
      <c r="I157" s="165">
        <v>8500</v>
      </c>
      <c r="J157" s="165"/>
      <c r="K157" s="165">
        <v>8500</v>
      </c>
      <c r="L157" s="165"/>
      <c r="M157" s="165">
        <v>7500</v>
      </c>
      <c r="N157" s="165">
        <v>7500</v>
      </c>
      <c r="O157" s="162">
        <v>8000</v>
      </c>
      <c r="P157" s="162">
        <v>15495</v>
      </c>
      <c r="Q157" s="178">
        <v>16000</v>
      </c>
      <c r="R157" s="165"/>
      <c r="S157" s="165">
        <v>16054.82</v>
      </c>
      <c r="T157" s="415"/>
      <c r="U157" s="178">
        <v>22750</v>
      </c>
      <c r="V157" s="181">
        <f t="shared" si="34"/>
        <v>0.421875</v>
      </c>
      <c r="W157" s="180">
        <f t="shared" si="35"/>
        <v>54.819999999999709</v>
      </c>
    </row>
    <row r="158" spans="1:24">
      <c r="A158" s="161" t="s">
        <v>901</v>
      </c>
      <c r="B158" s="160" t="s">
        <v>902</v>
      </c>
      <c r="C158" s="160"/>
      <c r="D158" s="165"/>
      <c r="E158" s="165">
        <v>10000</v>
      </c>
      <c r="F158" s="165"/>
      <c r="G158" s="165">
        <v>8500</v>
      </c>
      <c r="H158" s="165"/>
      <c r="I158" s="165">
        <v>0</v>
      </c>
      <c r="J158" s="165"/>
      <c r="K158" s="165">
        <v>0</v>
      </c>
      <c r="L158" s="165"/>
      <c r="M158" s="165">
        <v>14144.75</v>
      </c>
      <c r="N158" s="165">
        <v>699.5</v>
      </c>
      <c r="O158" s="162">
        <v>21168</v>
      </c>
      <c r="P158" s="162">
        <v>19995</v>
      </c>
      <c r="Q158" s="178">
        <v>21995</v>
      </c>
      <c r="R158" s="165"/>
      <c r="S158" s="165">
        <v>21995</v>
      </c>
      <c r="T158" s="165"/>
      <c r="U158" s="165">
        <v>21995</v>
      </c>
      <c r="V158" s="181">
        <f t="shared" si="34"/>
        <v>0</v>
      </c>
      <c r="W158" s="180">
        <f>S158-Q158</f>
        <v>0</v>
      </c>
    </row>
    <row r="159" spans="1:24">
      <c r="A159" s="161" t="s">
        <v>380</v>
      </c>
      <c r="B159" s="160" t="s">
        <v>382</v>
      </c>
      <c r="C159" s="160"/>
      <c r="D159" s="165"/>
      <c r="E159" s="165">
        <v>11627</v>
      </c>
      <c r="F159" s="165"/>
      <c r="G159" s="165">
        <v>8409.17</v>
      </c>
      <c r="H159" s="165"/>
      <c r="I159" s="165">
        <v>7592.21</v>
      </c>
      <c r="J159" s="165"/>
      <c r="K159" s="165">
        <v>8091.58</v>
      </c>
      <c r="L159" s="165"/>
      <c r="M159" s="165">
        <v>8790.92</v>
      </c>
      <c r="N159" s="165">
        <v>7790.01</v>
      </c>
      <c r="O159" s="162">
        <v>15558.57</v>
      </c>
      <c r="P159" s="162">
        <v>20893.32</v>
      </c>
      <c r="Q159" s="178">
        <v>20000</v>
      </c>
      <c r="R159" s="165"/>
      <c r="S159" s="165">
        <v>22000</v>
      </c>
      <c r="T159" s="165"/>
      <c r="U159" s="165">
        <v>22000</v>
      </c>
      <c r="V159" s="181">
        <f t="shared" si="34"/>
        <v>0.1</v>
      </c>
      <c r="W159" s="180">
        <f t="shared" si="35"/>
        <v>2000</v>
      </c>
    </row>
    <row r="160" spans="1:24">
      <c r="A160" s="161" t="s">
        <v>497</v>
      </c>
      <c r="B160" s="160" t="s">
        <v>383</v>
      </c>
      <c r="C160" s="160"/>
      <c r="D160" s="165"/>
      <c r="E160" s="165">
        <v>2066</v>
      </c>
      <c r="F160" s="165"/>
      <c r="G160" s="165">
        <v>2692.27</v>
      </c>
      <c r="H160" s="165"/>
      <c r="I160" s="165">
        <v>2225.5500000000002</v>
      </c>
      <c r="J160" s="165"/>
      <c r="K160" s="165">
        <v>620.76</v>
      </c>
      <c r="L160" s="165"/>
      <c r="M160" s="165">
        <v>1744.36</v>
      </c>
      <c r="N160" s="165">
        <v>2346.29</v>
      </c>
      <c r="O160" s="162">
        <v>1834.96</v>
      </c>
      <c r="P160" s="162">
        <v>1869.2</v>
      </c>
      <c r="Q160" s="178">
        <v>2000</v>
      </c>
      <c r="R160" s="165"/>
      <c r="S160" s="165">
        <v>2000</v>
      </c>
      <c r="T160" s="165"/>
      <c r="U160" s="165">
        <v>2000</v>
      </c>
      <c r="V160" s="181">
        <f t="shared" si="34"/>
        <v>0</v>
      </c>
      <c r="W160" s="180">
        <f t="shared" si="35"/>
        <v>0</v>
      </c>
    </row>
    <row r="161" spans="1:24" ht="15.75">
      <c r="A161" s="161" t="s">
        <v>374</v>
      </c>
      <c r="B161" s="160" t="s">
        <v>384</v>
      </c>
      <c r="C161" s="160"/>
      <c r="D161" s="193"/>
      <c r="E161" s="165">
        <v>7256</v>
      </c>
      <c r="F161" s="193"/>
      <c r="G161" s="165">
        <v>8380.52</v>
      </c>
      <c r="H161" s="193"/>
      <c r="I161" s="165">
        <v>7893.47</v>
      </c>
      <c r="J161" s="193"/>
      <c r="K161" s="165">
        <v>7510.41</v>
      </c>
      <c r="L161" s="193"/>
      <c r="M161" s="165">
        <v>5996.91</v>
      </c>
      <c r="N161" s="165">
        <v>5295.92</v>
      </c>
      <c r="O161" s="162">
        <v>5682.2</v>
      </c>
      <c r="P161" s="162">
        <v>13212.75</v>
      </c>
      <c r="Q161" s="178">
        <v>14000</v>
      </c>
      <c r="R161" s="165"/>
      <c r="S161" s="165">
        <v>14000</v>
      </c>
      <c r="T161" s="193"/>
      <c r="U161" s="165">
        <v>14000</v>
      </c>
      <c r="V161" s="181">
        <f t="shared" si="34"/>
        <v>0</v>
      </c>
      <c r="W161" s="180">
        <f t="shared" si="35"/>
        <v>0</v>
      </c>
    </row>
    <row r="162" spans="1:24" ht="15.75">
      <c r="A162" s="161" t="s">
        <v>375</v>
      </c>
      <c r="B162" s="160" t="s">
        <v>385</v>
      </c>
      <c r="C162" s="160"/>
      <c r="D162" s="193"/>
      <c r="E162" s="165">
        <v>7990</v>
      </c>
      <c r="F162" s="193"/>
      <c r="G162" s="165">
        <v>9378.61</v>
      </c>
      <c r="H162" s="193"/>
      <c r="I162" s="165">
        <v>10188.93</v>
      </c>
      <c r="J162" s="193"/>
      <c r="K162" s="165">
        <v>10312.07</v>
      </c>
      <c r="L162" s="193"/>
      <c r="M162" s="165">
        <v>11284.93</v>
      </c>
      <c r="N162" s="165">
        <v>11395.44</v>
      </c>
      <c r="O162" s="162">
        <v>11584.03</v>
      </c>
      <c r="P162" s="162">
        <v>9401.2099999999991</v>
      </c>
      <c r="Q162" s="178">
        <v>9400</v>
      </c>
      <c r="R162" s="165"/>
      <c r="S162" s="178">
        <v>9400</v>
      </c>
      <c r="T162" s="416"/>
      <c r="U162" s="178">
        <v>8800</v>
      </c>
      <c r="V162" s="181">
        <f t="shared" si="34"/>
        <v>-6.3829787234042548E-2</v>
      </c>
      <c r="W162" s="180">
        <f t="shared" si="35"/>
        <v>0</v>
      </c>
    </row>
    <row r="163" spans="1:24">
      <c r="A163" s="161" t="s">
        <v>1197</v>
      </c>
      <c r="B163" s="160" t="s">
        <v>829</v>
      </c>
      <c r="C163" s="160"/>
      <c r="D163" s="165"/>
      <c r="E163" s="165">
        <v>8209</v>
      </c>
      <c r="F163" s="165"/>
      <c r="G163" s="165">
        <v>4418.7700000000004</v>
      </c>
      <c r="H163" s="165"/>
      <c r="I163" s="165">
        <v>11302.46</v>
      </c>
      <c r="J163" s="165"/>
      <c r="K163" s="165">
        <v>10856.11</v>
      </c>
      <c r="L163" s="165"/>
      <c r="M163" s="165">
        <v>1917</v>
      </c>
      <c r="N163" s="165">
        <v>3679</v>
      </c>
      <c r="O163" s="162">
        <v>6867.25</v>
      </c>
      <c r="P163" s="162">
        <v>12152.71</v>
      </c>
      <c r="Q163" s="178">
        <v>12000</v>
      </c>
      <c r="R163" s="165"/>
      <c r="S163" s="165">
        <v>10000</v>
      </c>
      <c r="T163" s="165"/>
      <c r="U163" s="178">
        <v>12000</v>
      </c>
      <c r="V163" s="181">
        <f t="shared" si="34"/>
        <v>0</v>
      </c>
      <c r="W163" s="180">
        <f>S163-Q163</f>
        <v>-2000</v>
      </c>
    </row>
    <row r="164" spans="1:24">
      <c r="A164" s="161" t="s">
        <v>168</v>
      </c>
      <c r="B164" s="160" t="s">
        <v>370</v>
      </c>
      <c r="C164" s="160"/>
      <c r="D164" s="165"/>
      <c r="E164" s="165">
        <v>8209</v>
      </c>
      <c r="F164" s="165"/>
      <c r="G164" s="165">
        <v>4418.7700000000004</v>
      </c>
      <c r="H164" s="165"/>
      <c r="I164" s="165">
        <v>11302.46</v>
      </c>
      <c r="J164" s="165"/>
      <c r="K164" s="165">
        <v>10856.11</v>
      </c>
      <c r="L164" s="165"/>
      <c r="M164" s="165">
        <v>1917</v>
      </c>
      <c r="N164" s="165">
        <v>3679</v>
      </c>
      <c r="O164" s="162">
        <v>6867.25</v>
      </c>
      <c r="P164" s="162">
        <v>7176</v>
      </c>
      <c r="Q164" s="178">
        <v>7000</v>
      </c>
      <c r="R164" s="165"/>
      <c r="S164" s="165">
        <v>10000</v>
      </c>
      <c r="T164" s="165"/>
      <c r="U164" s="178">
        <v>10000</v>
      </c>
      <c r="V164" s="181">
        <f t="shared" si="34"/>
        <v>0.42857142857142855</v>
      </c>
      <c r="W164" s="180">
        <f t="shared" si="35"/>
        <v>3000</v>
      </c>
    </row>
    <row r="165" spans="1:24">
      <c r="A165" s="161" t="s">
        <v>395</v>
      </c>
      <c r="B165" s="160" t="s">
        <v>396</v>
      </c>
      <c r="C165" s="160"/>
      <c r="D165" s="165"/>
      <c r="E165" s="165">
        <v>12000</v>
      </c>
      <c r="F165" s="165"/>
      <c r="G165" s="165">
        <v>12000</v>
      </c>
      <c r="H165" s="165"/>
      <c r="I165" s="165">
        <v>12126</v>
      </c>
      <c r="J165" s="165"/>
      <c r="K165" s="165">
        <v>12000</v>
      </c>
      <c r="L165" s="165"/>
      <c r="M165" s="165">
        <v>12000</v>
      </c>
      <c r="N165" s="165">
        <v>12000</v>
      </c>
      <c r="O165" s="162">
        <v>24000</v>
      </c>
      <c r="P165" s="162">
        <v>34200</v>
      </c>
      <c r="Q165" s="178">
        <v>36000</v>
      </c>
      <c r="R165" s="165"/>
      <c r="S165" s="165">
        <v>36000</v>
      </c>
      <c r="T165" s="165"/>
      <c r="U165" s="178">
        <v>42000</v>
      </c>
      <c r="V165" s="181">
        <f t="shared" si="34"/>
        <v>0.16666666666666666</v>
      </c>
      <c r="W165" s="180">
        <f t="shared" si="35"/>
        <v>0</v>
      </c>
    </row>
    <row r="166" spans="1:24">
      <c r="A166" s="161" t="s">
        <v>397</v>
      </c>
      <c r="B166" s="160" t="s">
        <v>621</v>
      </c>
      <c r="C166" s="160"/>
      <c r="D166" s="165"/>
      <c r="E166" s="165">
        <v>14000</v>
      </c>
      <c r="F166" s="165"/>
      <c r="G166" s="165">
        <v>21500</v>
      </c>
      <c r="H166" s="165"/>
      <c r="I166" s="165">
        <v>16500</v>
      </c>
      <c r="J166" s="165"/>
      <c r="K166" s="165">
        <v>16500</v>
      </c>
      <c r="L166" s="165"/>
      <c r="M166" s="165">
        <v>36500</v>
      </c>
      <c r="N166" s="165">
        <v>12500</v>
      </c>
      <c r="O166" s="162">
        <v>16000</v>
      </c>
      <c r="P166" s="162">
        <v>21000</v>
      </c>
      <c r="Q166" s="178">
        <v>22500</v>
      </c>
      <c r="R166" s="165"/>
      <c r="S166" s="165">
        <v>21000</v>
      </c>
      <c r="T166" s="165"/>
      <c r="U166" s="178">
        <v>21000</v>
      </c>
      <c r="V166" s="181">
        <f t="shared" si="34"/>
        <v>-6.6666666666666666E-2</v>
      </c>
      <c r="W166" s="180">
        <f t="shared" si="35"/>
        <v>-1500</v>
      </c>
    </row>
    <row r="167" spans="1:24">
      <c r="A167" s="161" t="s">
        <v>376</v>
      </c>
      <c r="B167" s="160" t="s">
        <v>72</v>
      </c>
      <c r="C167" s="160"/>
      <c r="D167" s="165"/>
      <c r="E167" s="165">
        <v>4761</v>
      </c>
      <c r="F167" s="165"/>
      <c r="G167" s="165">
        <v>4259.28</v>
      </c>
      <c r="H167" s="165"/>
      <c r="I167" s="165">
        <v>6590.69</v>
      </c>
      <c r="J167" s="165"/>
      <c r="K167" s="165">
        <v>3732.55</v>
      </c>
      <c r="L167" s="165"/>
      <c r="M167" s="165">
        <v>2222.8000000000002</v>
      </c>
      <c r="N167" s="165">
        <v>3607.06</v>
      </c>
      <c r="O167" s="162">
        <v>6788.37</v>
      </c>
      <c r="P167" s="162">
        <v>11496.46</v>
      </c>
      <c r="Q167" s="178">
        <v>10000</v>
      </c>
      <c r="R167" s="165"/>
      <c r="S167" s="165">
        <v>16000</v>
      </c>
      <c r="T167" s="165"/>
      <c r="U167" s="178">
        <v>16000</v>
      </c>
      <c r="V167" s="181">
        <f t="shared" si="34"/>
        <v>0.6</v>
      </c>
      <c r="W167" s="180">
        <f t="shared" si="35"/>
        <v>6000</v>
      </c>
    </row>
    <row r="168" spans="1:24" ht="15.75">
      <c r="A168" s="161" t="s">
        <v>169</v>
      </c>
      <c r="B168" s="160" t="s">
        <v>480</v>
      </c>
      <c r="C168" s="160"/>
      <c r="D168" s="193"/>
      <c r="E168" s="165">
        <v>722</v>
      </c>
      <c r="F168" s="193"/>
      <c r="G168" s="165">
        <v>465</v>
      </c>
      <c r="H168" s="193"/>
      <c r="I168" s="165">
        <v>372.97</v>
      </c>
      <c r="J168" s="193"/>
      <c r="K168" s="165">
        <v>100</v>
      </c>
      <c r="L168" s="193"/>
      <c r="M168" s="165">
        <v>13</v>
      </c>
      <c r="N168" s="165">
        <v>2100</v>
      </c>
      <c r="O168" s="162">
        <v>0</v>
      </c>
      <c r="P168" s="162">
        <v>219.04</v>
      </c>
      <c r="Q168" s="178">
        <v>2000</v>
      </c>
      <c r="R168" s="165"/>
      <c r="S168" s="165">
        <v>2000</v>
      </c>
      <c r="T168" s="193"/>
      <c r="U168" s="178">
        <v>2000</v>
      </c>
      <c r="V168" s="181">
        <f t="shared" si="34"/>
        <v>0</v>
      </c>
      <c r="W168" s="180">
        <f t="shared" si="35"/>
        <v>0</v>
      </c>
      <c r="X168" s="398"/>
    </row>
    <row r="169" spans="1:24">
      <c r="A169" s="161" t="s">
        <v>377</v>
      </c>
      <c r="B169" s="160" t="s">
        <v>373</v>
      </c>
      <c r="C169" s="160"/>
      <c r="D169" s="165"/>
      <c r="E169" s="165">
        <v>4232</v>
      </c>
      <c r="F169" s="165"/>
      <c r="G169" s="165">
        <v>4232.97</v>
      </c>
      <c r="H169" s="165"/>
      <c r="I169" s="165">
        <v>4396.1400000000003</v>
      </c>
      <c r="J169" s="165"/>
      <c r="K169" s="165">
        <v>3850.04</v>
      </c>
      <c r="L169" s="165"/>
      <c r="M169" s="165">
        <v>4220.8100000000004</v>
      </c>
      <c r="N169" s="165">
        <v>3837.83</v>
      </c>
      <c r="O169" s="162">
        <v>8475.84</v>
      </c>
      <c r="P169" s="162">
        <v>9512.44</v>
      </c>
      <c r="Q169" s="178">
        <v>10000</v>
      </c>
      <c r="R169" s="165"/>
      <c r="S169" s="165">
        <v>10000</v>
      </c>
      <c r="T169" s="165"/>
      <c r="U169" s="178">
        <v>10000</v>
      </c>
      <c r="V169" s="181">
        <f t="shared" si="34"/>
        <v>0</v>
      </c>
      <c r="W169" s="180">
        <f t="shared" si="35"/>
        <v>0</v>
      </c>
    </row>
    <row r="170" spans="1:24" ht="15.75">
      <c r="A170" s="161" t="s">
        <v>498</v>
      </c>
      <c r="B170" s="160" t="s">
        <v>387</v>
      </c>
      <c r="C170" s="160"/>
      <c r="D170" s="193"/>
      <c r="E170" s="165">
        <v>1020</v>
      </c>
      <c r="F170" s="193"/>
      <c r="G170" s="165">
        <v>2046.84</v>
      </c>
      <c r="H170" s="193"/>
      <c r="I170" s="165">
        <v>1272.57</v>
      </c>
      <c r="J170" s="193"/>
      <c r="K170" s="165">
        <v>443.31</v>
      </c>
      <c r="L170" s="193"/>
      <c r="M170" s="165">
        <v>983.86</v>
      </c>
      <c r="N170" s="165">
        <v>1363.21</v>
      </c>
      <c r="O170" s="162">
        <v>823.03</v>
      </c>
      <c r="P170" s="162">
        <v>9981.25</v>
      </c>
      <c r="Q170" s="178">
        <v>11300</v>
      </c>
      <c r="R170" s="165"/>
      <c r="S170" s="165">
        <v>17000</v>
      </c>
      <c r="T170" s="193"/>
      <c r="U170" s="178">
        <v>17000</v>
      </c>
      <c r="V170" s="181">
        <f t="shared" si="34"/>
        <v>0.50442477876106195</v>
      </c>
      <c r="W170" s="180">
        <f t="shared" si="35"/>
        <v>5700</v>
      </c>
    </row>
    <row r="171" spans="1:24">
      <c r="A171" s="161" t="s">
        <v>499</v>
      </c>
      <c r="B171" s="259" t="s">
        <v>74</v>
      </c>
      <c r="C171" s="160"/>
      <c r="D171" s="165"/>
      <c r="E171" s="165">
        <v>2609</v>
      </c>
      <c r="F171" s="165"/>
      <c r="G171" s="165">
        <v>2320.9299999999998</v>
      </c>
      <c r="H171" s="165"/>
      <c r="I171" s="165">
        <v>2624.67</v>
      </c>
      <c r="J171" s="165"/>
      <c r="K171" s="165">
        <v>2036.98</v>
      </c>
      <c r="L171" s="165"/>
      <c r="M171" s="165">
        <v>6549.88</v>
      </c>
      <c r="N171" s="165">
        <v>1419.62</v>
      </c>
      <c r="O171" s="162">
        <v>2785.85</v>
      </c>
      <c r="P171" s="162">
        <v>11363.5</v>
      </c>
      <c r="Q171" s="178">
        <v>6000</v>
      </c>
      <c r="R171" s="165"/>
      <c r="S171" s="165">
        <v>6000</v>
      </c>
      <c r="T171" s="165"/>
      <c r="U171" s="178">
        <v>10000</v>
      </c>
      <c r="V171" s="181">
        <f t="shared" si="34"/>
        <v>0.66666666666666663</v>
      </c>
      <c r="W171" s="180">
        <f t="shared" si="35"/>
        <v>0</v>
      </c>
    </row>
    <row r="172" spans="1:24">
      <c r="A172" s="161" t="s">
        <v>378</v>
      </c>
      <c r="B172" s="160" t="s">
        <v>388</v>
      </c>
      <c r="C172" s="160"/>
      <c r="D172" s="165"/>
      <c r="E172" s="165">
        <v>1457</v>
      </c>
      <c r="F172" s="165"/>
      <c r="G172" s="165">
        <v>2047</v>
      </c>
      <c r="H172" s="165"/>
      <c r="I172" s="165">
        <v>0</v>
      </c>
      <c r="J172" s="165"/>
      <c r="K172" s="165">
        <v>2544</v>
      </c>
      <c r="L172" s="165"/>
      <c r="M172" s="165">
        <v>2665</v>
      </c>
      <c r="N172" s="165">
        <v>2875</v>
      </c>
      <c r="O172" s="162">
        <v>5043</v>
      </c>
      <c r="P172" s="162">
        <v>32872</v>
      </c>
      <c r="Q172" s="178">
        <v>33000</v>
      </c>
      <c r="R172" s="165"/>
      <c r="S172" s="165">
        <v>32888</v>
      </c>
      <c r="T172" s="165"/>
      <c r="U172" s="178">
        <v>33000</v>
      </c>
      <c r="V172" s="181">
        <f t="shared" si="34"/>
        <v>0</v>
      </c>
      <c r="W172" s="180">
        <f t="shared" si="35"/>
        <v>-112</v>
      </c>
    </row>
    <row r="173" spans="1:24">
      <c r="A173" s="161" t="s">
        <v>379</v>
      </c>
      <c r="B173" s="160" t="s">
        <v>389</v>
      </c>
      <c r="C173" s="160"/>
      <c r="D173" s="165"/>
      <c r="E173" s="165">
        <v>7759</v>
      </c>
      <c r="F173" s="165"/>
      <c r="G173" s="165">
        <v>6642.48</v>
      </c>
      <c r="H173" s="165"/>
      <c r="I173" s="165">
        <v>7551.54</v>
      </c>
      <c r="J173" s="165"/>
      <c r="K173" s="165">
        <v>3665.44</v>
      </c>
      <c r="L173" s="165"/>
      <c r="M173" s="165">
        <v>3116.04</v>
      </c>
      <c r="N173" s="165">
        <v>3121</v>
      </c>
      <c r="O173" s="162">
        <v>4482.38</v>
      </c>
      <c r="P173" s="162">
        <v>8007.9</v>
      </c>
      <c r="Q173" s="178">
        <v>8300</v>
      </c>
      <c r="R173" s="165"/>
      <c r="S173" s="165">
        <v>9880.14</v>
      </c>
      <c r="T173" s="165"/>
      <c r="U173" s="178">
        <v>10000</v>
      </c>
      <c r="V173" s="181">
        <f t="shared" si="34"/>
        <v>0.20481927710843373</v>
      </c>
      <c r="W173" s="180">
        <f t="shared" si="35"/>
        <v>1580.1399999999994</v>
      </c>
    </row>
    <row r="174" spans="1:24">
      <c r="A174" s="161" t="s">
        <v>978</v>
      </c>
      <c r="B174" s="160" t="s">
        <v>606</v>
      </c>
      <c r="C174" s="160"/>
      <c r="D174" s="165"/>
      <c r="E174" s="165">
        <v>29605</v>
      </c>
      <c r="F174" s="165"/>
      <c r="G174" s="165">
        <v>0</v>
      </c>
      <c r="H174" s="165"/>
      <c r="I174" s="165">
        <v>0</v>
      </c>
      <c r="J174" s="165"/>
      <c r="K174" s="165">
        <v>162736.20000000001</v>
      </c>
      <c r="L174" s="165"/>
      <c r="M174" s="165">
        <v>0</v>
      </c>
      <c r="N174" s="165">
        <v>0</v>
      </c>
      <c r="O174" s="162">
        <v>511528.9</v>
      </c>
      <c r="P174" s="162">
        <v>0</v>
      </c>
      <c r="Q174" s="165">
        <v>0</v>
      </c>
      <c r="R174" s="165"/>
      <c r="S174" s="165">
        <v>0</v>
      </c>
      <c r="T174" s="165"/>
      <c r="U174" s="165">
        <v>0</v>
      </c>
      <c r="V174" s="161" t="e">
        <f>(U174-Q174)/Q174</f>
        <v>#DIV/0!</v>
      </c>
      <c r="W174" s="180">
        <f t="shared" si="35"/>
        <v>0</v>
      </c>
    </row>
    <row r="175" spans="1:24">
      <c r="A175" s="161" t="s">
        <v>500</v>
      </c>
      <c r="B175" s="160" t="s">
        <v>797</v>
      </c>
      <c r="C175" s="160"/>
      <c r="D175" s="165"/>
      <c r="E175" s="165">
        <v>10143</v>
      </c>
      <c r="F175" s="165"/>
      <c r="G175" s="165">
        <v>8600.15</v>
      </c>
      <c r="H175" s="165"/>
      <c r="I175" s="165">
        <v>7335.21</v>
      </c>
      <c r="J175" s="165"/>
      <c r="K175" s="165">
        <v>3193.11</v>
      </c>
      <c r="L175" s="165"/>
      <c r="M175" s="165">
        <v>1823.85</v>
      </c>
      <c r="N175" s="165">
        <v>2820.55</v>
      </c>
      <c r="O175" s="162">
        <v>2578.7399999999998</v>
      </c>
      <c r="P175" s="162">
        <v>31684.43</v>
      </c>
      <c r="Q175" s="178">
        <v>37445.19</v>
      </c>
      <c r="R175" s="165"/>
      <c r="S175" s="165">
        <v>36936</v>
      </c>
      <c r="T175" s="165"/>
      <c r="U175" s="178">
        <v>50000</v>
      </c>
      <c r="V175" s="181">
        <f t="shared" si="34"/>
        <v>0.33528498586867889</v>
      </c>
      <c r="W175" s="180">
        <f t="shared" si="35"/>
        <v>-509.19000000000233</v>
      </c>
    </row>
    <row r="176" spans="1:24">
      <c r="A176" s="161" t="s">
        <v>1196</v>
      </c>
      <c r="B176" s="160" t="s">
        <v>697</v>
      </c>
      <c r="C176" s="160"/>
      <c r="D176" s="165"/>
      <c r="E176" s="165">
        <v>4305</v>
      </c>
      <c r="F176" s="165"/>
      <c r="G176" s="165">
        <v>2799.07</v>
      </c>
      <c r="H176" s="165"/>
      <c r="I176" s="165">
        <v>0</v>
      </c>
      <c r="J176" s="165"/>
      <c r="K176" s="165">
        <v>-157.51</v>
      </c>
      <c r="L176" s="165"/>
      <c r="M176" s="165">
        <v>4385.17</v>
      </c>
      <c r="N176" s="165">
        <v>10426.44</v>
      </c>
      <c r="O176" s="162">
        <v>9067.14</v>
      </c>
      <c r="P176" s="162">
        <v>500</v>
      </c>
      <c r="Q176" s="178">
        <v>500</v>
      </c>
      <c r="R176" s="165"/>
      <c r="S176" s="165">
        <v>500</v>
      </c>
      <c r="T176" s="165"/>
      <c r="U176" s="178">
        <f>500+3750</f>
        <v>4250</v>
      </c>
      <c r="V176" s="181">
        <f t="shared" si="34"/>
        <v>7.5</v>
      </c>
      <c r="W176" s="197">
        <f>S176-Q176</f>
        <v>0</v>
      </c>
    </row>
    <row r="177" spans="1:24">
      <c r="A177" s="161" t="s">
        <v>170</v>
      </c>
      <c r="B177" s="160" t="s">
        <v>462</v>
      </c>
      <c r="C177" s="160"/>
      <c r="D177" s="165"/>
      <c r="E177" s="165">
        <v>4305</v>
      </c>
      <c r="F177" s="165"/>
      <c r="G177" s="165">
        <v>2799.07</v>
      </c>
      <c r="H177" s="165"/>
      <c r="I177" s="165">
        <v>0</v>
      </c>
      <c r="J177" s="165"/>
      <c r="K177" s="165">
        <v>-157.51</v>
      </c>
      <c r="L177" s="165"/>
      <c r="M177" s="165">
        <v>4385.17</v>
      </c>
      <c r="N177" s="165">
        <v>10426.44</v>
      </c>
      <c r="O177" s="162">
        <v>9067.14</v>
      </c>
      <c r="P177" s="162">
        <v>20798.61</v>
      </c>
      <c r="Q177" s="178">
        <v>6000</v>
      </c>
      <c r="R177" s="165"/>
      <c r="S177" s="165">
        <v>6000</v>
      </c>
      <c r="T177" s="165"/>
      <c r="U177" s="178">
        <v>6000</v>
      </c>
      <c r="V177" s="181">
        <f t="shared" si="34"/>
        <v>0</v>
      </c>
      <c r="W177" s="197">
        <f t="shared" si="35"/>
        <v>0</v>
      </c>
    </row>
    <row r="178" spans="1:24">
      <c r="A178" s="161" t="s">
        <v>1321</v>
      </c>
      <c r="B178" s="160" t="s">
        <v>1322</v>
      </c>
      <c r="C178" s="160"/>
      <c r="D178" s="165"/>
      <c r="E178" s="165"/>
      <c r="F178" s="165"/>
      <c r="G178" s="165"/>
      <c r="H178" s="165"/>
      <c r="I178" s="165"/>
      <c r="J178" s="165"/>
      <c r="K178" s="165"/>
      <c r="L178" s="165"/>
      <c r="M178" s="165"/>
      <c r="N178" s="165"/>
      <c r="O178" s="162"/>
      <c r="P178" s="162">
        <v>6000</v>
      </c>
      <c r="Q178" s="178">
        <v>6000</v>
      </c>
      <c r="R178" s="165"/>
      <c r="S178" s="165">
        <v>6000</v>
      </c>
      <c r="T178" s="165"/>
      <c r="U178" s="178">
        <v>7500</v>
      </c>
      <c r="V178" s="181">
        <f t="shared" si="34"/>
        <v>0.25</v>
      </c>
      <c r="W178" s="197">
        <f t="shared" si="35"/>
        <v>0</v>
      </c>
    </row>
    <row r="179" spans="1:24" hidden="1">
      <c r="A179" s="161" t="s">
        <v>1175</v>
      </c>
      <c r="B179" s="160" t="s">
        <v>1174</v>
      </c>
      <c r="C179" s="160"/>
      <c r="D179" s="165"/>
      <c r="E179" s="165">
        <v>4305</v>
      </c>
      <c r="F179" s="165"/>
      <c r="G179" s="165">
        <v>2799.07</v>
      </c>
      <c r="H179" s="165"/>
      <c r="I179" s="165">
        <v>0</v>
      </c>
      <c r="J179" s="165"/>
      <c r="K179" s="165">
        <v>-157.51</v>
      </c>
      <c r="L179" s="165"/>
      <c r="M179" s="165">
        <v>4385.17</v>
      </c>
      <c r="N179" s="165">
        <v>10426.44</v>
      </c>
      <c r="O179" s="162">
        <v>53937.94</v>
      </c>
      <c r="P179" s="162">
        <v>0</v>
      </c>
      <c r="Q179" s="178">
        <v>0</v>
      </c>
      <c r="R179" s="165"/>
      <c r="S179" s="165">
        <v>0</v>
      </c>
      <c r="T179" s="165"/>
      <c r="U179" s="178">
        <v>0</v>
      </c>
      <c r="V179" s="181">
        <v>0</v>
      </c>
      <c r="W179" s="197">
        <f>S179-Q179</f>
        <v>0</v>
      </c>
    </row>
    <row r="180" spans="1:24" hidden="1">
      <c r="A180" s="161" t="s">
        <v>1284</v>
      </c>
      <c r="B180" s="160" t="s">
        <v>1285</v>
      </c>
      <c r="C180" s="160"/>
      <c r="D180" s="165"/>
      <c r="E180" s="165"/>
      <c r="F180" s="165"/>
      <c r="G180" s="165"/>
      <c r="H180" s="165"/>
      <c r="I180" s="165"/>
      <c r="J180" s="165"/>
      <c r="K180" s="165"/>
      <c r="L180" s="165"/>
      <c r="M180" s="165"/>
      <c r="N180" s="165"/>
      <c r="O180" s="162"/>
      <c r="P180" s="162">
        <v>0</v>
      </c>
      <c r="Q180" s="178">
        <v>0</v>
      </c>
      <c r="R180" s="165"/>
      <c r="S180" s="165">
        <v>0</v>
      </c>
      <c r="T180" s="165"/>
      <c r="U180" s="178">
        <v>0</v>
      </c>
      <c r="V180" s="181">
        <v>0</v>
      </c>
      <c r="W180" s="197">
        <f>S180-Q180</f>
        <v>0</v>
      </c>
    </row>
    <row r="181" spans="1:24" hidden="1">
      <c r="A181" s="161" t="s">
        <v>1286</v>
      </c>
      <c r="B181" s="160" t="s">
        <v>1287</v>
      </c>
      <c r="C181" s="160"/>
      <c r="D181" s="165"/>
      <c r="E181" s="165"/>
      <c r="F181" s="165"/>
      <c r="G181" s="165"/>
      <c r="H181" s="165"/>
      <c r="I181" s="165"/>
      <c r="J181" s="165"/>
      <c r="K181" s="165"/>
      <c r="L181" s="165"/>
      <c r="M181" s="165"/>
      <c r="N181" s="165"/>
      <c r="O181" s="162"/>
      <c r="P181" s="162">
        <v>0</v>
      </c>
      <c r="Q181" s="178">
        <v>0</v>
      </c>
      <c r="R181" s="165"/>
      <c r="S181" s="165">
        <v>0</v>
      </c>
      <c r="T181" s="165"/>
      <c r="U181" s="178">
        <v>0</v>
      </c>
      <c r="V181" s="181">
        <v>0</v>
      </c>
      <c r="W181" s="197">
        <f>S181-Q181</f>
        <v>0</v>
      </c>
    </row>
    <row r="182" spans="1:24" ht="15.75">
      <c r="B182" s="172" t="s">
        <v>470</v>
      </c>
      <c r="C182" s="177"/>
      <c r="D182" s="332"/>
      <c r="E182" s="287">
        <f>SUM(E147:E177)</f>
        <v>315516</v>
      </c>
      <c r="F182" s="332"/>
      <c r="G182" s="287">
        <f>SUM(G147:G177)</f>
        <v>259585.04999999996</v>
      </c>
      <c r="H182" s="332"/>
      <c r="I182" s="287">
        <f>SUM(I147:I177)</f>
        <v>276212.37</v>
      </c>
      <c r="J182" s="332"/>
      <c r="K182" s="287">
        <f>SUM(K147:K177)</f>
        <v>424711.68999999994</v>
      </c>
      <c r="L182" s="332"/>
      <c r="M182" s="287">
        <f>SUM(M147:M177)</f>
        <v>266360.45999999996</v>
      </c>
      <c r="N182" s="287">
        <f>SUM(N147:N177)</f>
        <v>199983.11999999997</v>
      </c>
      <c r="O182" s="285">
        <f>SUM(O147:O179)</f>
        <v>827480.24</v>
      </c>
      <c r="P182" s="333">
        <f>SUM(P147:P181)</f>
        <v>618999.60000000021</v>
      </c>
      <c r="Q182" s="333">
        <f>SUM(Q147:Q181)</f>
        <v>631500.18999999994</v>
      </c>
      <c r="R182" s="242">
        <f>SUM(R147:R179)</f>
        <v>0</v>
      </c>
      <c r="S182" s="242">
        <f>SUM(S147:S181)</f>
        <v>649643.96000000008</v>
      </c>
      <c r="T182" s="399"/>
      <c r="U182" s="242">
        <f>SUM(U147:U181)</f>
        <v>721736</v>
      </c>
      <c r="V182" s="384">
        <f>(U182-Q182)/Q182</f>
        <v>0.1428911842449328</v>
      </c>
      <c r="W182" s="192">
        <f>SUM(W147:W177)</f>
        <v>18143.769999999997</v>
      </c>
    </row>
    <row r="183" spans="1:24" ht="15.75">
      <c r="B183" s="172"/>
      <c r="C183" s="177"/>
      <c r="D183" s="179"/>
      <c r="E183" s="391"/>
      <c r="F183" s="179"/>
      <c r="G183" s="193"/>
      <c r="H183" s="253"/>
      <c r="I183" s="193"/>
      <c r="J183" s="253"/>
      <c r="K183" s="193"/>
      <c r="L183" s="253"/>
      <c r="M183" s="193"/>
      <c r="N183" s="193"/>
      <c r="O183" s="391"/>
      <c r="P183" s="391"/>
      <c r="R183" s="253"/>
      <c r="T183" s="253"/>
      <c r="W183" s="180"/>
      <c r="X183" s="188"/>
    </row>
    <row r="184" spans="1:24" ht="15.75">
      <c r="A184" s="423" t="s">
        <v>1369</v>
      </c>
      <c r="B184" s="423"/>
      <c r="C184" s="423"/>
      <c r="G184" s="165"/>
      <c r="H184" s="165"/>
      <c r="I184" s="165"/>
      <c r="J184" s="165"/>
      <c r="K184" s="165"/>
      <c r="L184" s="165"/>
      <c r="M184" s="165"/>
      <c r="N184" s="165"/>
      <c r="R184" s="253"/>
      <c r="T184" s="165"/>
      <c r="W184" s="180"/>
    </row>
    <row r="185" spans="1:24">
      <c r="A185" s="161" t="s">
        <v>501</v>
      </c>
      <c r="B185" s="160" t="s">
        <v>930</v>
      </c>
      <c r="C185" s="160"/>
      <c r="D185" s="165"/>
      <c r="E185" s="165">
        <v>79482</v>
      </c>
      <c r="F185" s="165"/>
      <c r="G185" s="165">
        <v>81289.22</v>
      </c>
      <c r="H185" s="165"/>
      <c r="I185" s="165">
        <v>85430.85</v>
      </c>
      <c r="J185" s="165"/>
      <c r="K185" s="165">
        <v>88436.98</v>
      </c>
      <c r="L185" s="165"/>
      <c r="M185" s="165">
        <v>82691.360000000001</v>
      </c>
      <c r="N185" s="165">
        <v>86187.97</v>
      </c>
      <c r="O185" s="162">
        <v>86844.47</v>
      </c>
      <c r="P185" s="162">
        <v>111726.87</v>
      </c>
      <c r="Q185" s="165">
        <v>118842</v>
      </c>
      <c r="R185" s="165"/>
      <c r="S185" s="178">
        <v>118842</v>
      </c>
      <c r="T185" s="165"/>
      <c r="U185" s="165">
        <v>130174</v>
      </c>
      <c r="V185" s="181">
        <f t="shared" ref="V185:V206" si="36">(U185-Q185)/Q185</f>
        <v>9.5353494555796767E-2</v>
      </c>
      <c r="W185" s="180">
        <f t="shared" si="35"/>
        <v>0</v>
      </c>
    </row>
    <row r="186" spans="1:24">
      <c r="A186" s="161" t="s">
        <v>622</v>
      </c>
      <c r="B186" s="160" t="s">
        <v>419</v>
      </c>
      <c r="C186" s="160"/>
      <c r="D186" s="165"/>
      <c r="E186" s="165">
        <v>930</v>
      </c>
      <c r="F186" s="165"/>
      <c r="G186" s="165">
        <v>527</v>
      </c>
      <c r="H186" s="165"/>
      <c r="I186" s="165">
        <v>822.06</v>
      </c>
      <c r="J186" s="165"/>
      <c r="K186" s="165">
        <v>2349.5100000000002</v>
      </c>
      <c r="L186" s="165"/>
      <c r="M186" s="165">
        <v>1332.98</v>
      </c>
      <c r="N186" s="165">
        <v>448.06</v>
      </c>
      <c r="O186" s="162">
        <v>1217.08</v>
      </c>
      <c r="P186" s="162">
        <v>830.34</v>
      </c>
      <c r="Q186" s="165">
        <v>1000</v>
      </c>
      <c r="R186" s="165"/>
      <c r="S186" s="178">
        <v>500</v>
      </c>
      <c r="T186" s="165"/>
      <c r="U186" s="165">
        <v>1000</v>
      </c>
      <c r="V186" s="181">
        <f t="shared" si="36"/>
        <v>0</v>
      </c>
      <c r="W186" s="180">
        <f t="shared" si="35"/>
        <v>-500</v>
      </c>
    </row>
    <row r="187" spans="1:24">
      <c r="A187" s="161" t="s">
        <v>171</v>
      </c>
      <c r="B187" s="160" t="s">
        <v>105</v>
      </c>
      <c r="C187" s="160"/>
      <c r="D187" s="165"/>
      <c r="E187" s="165">
        <v>5394</v>
      </c>
      <c r="F187" s="165"/>
      <c r="G187" s="165">
        <v>5060.53</v>
      </c>
      <c r="H187" s="165"/>
      <c r="I187" s="165">
        <v>5284.2</v>
      </c>
      <c r="J187" s="165"/>
      <c r="K187" s="165">
        <v>5639.4</v>
      </c>
      <c r="L187" s="165"/>
      <c r="M187" s="165">
        <v>5420.38</v>
      </c>
      <c r="N187" s="165">
        <v>5570.3</v>
      </c>
      <c r="O187" s="162">
        <v>5338.18</v>
      </c>
      <c r="P187" s="162">
        <v>6925.52</v>
      </c>
      <c r="Q187" s="165">
        <v>7430</v>
      </c>
      <c r="R187" s="165"/>
      <c r="S187" s="178">
        <v>7430</v>
      </c>
      <c r="T187" s="165"/>
      <c r="U187" s="165">
        <v>8133</v>
      </c>
      <c r="V187" s="181">
        <f t="shared" si="36"/>
        <v>9.4616419919246297E-2</v>
      </c>
      <c r="W187" s="180">
        <f t="shared" si="35"/>
        <v>0</v>
      </c>
    </row>
    <row r="188" spans="1:24">
      <c r="A188" s="161" t="s">
        <v>172</v>
      </c>
      <c r="B188" s="160" t="s">
        <v>67</v>
      </c>
      <c r="C188" s="160"/>
      <c r="D188" s="165"/>
      <c r="E188" s="165">
        <v>1199</v>
      </c>
      <c r="F188" s="165"/>
      <c r="G188" s="165">
        <v>1139.1099999999999</v>
      </c>
      <c r="H188" s="165"/>
      <c r="I188" s="165">
        <v>1235.79</v>
      </c>
      <c r="J188" s="165"/>
      <c r="K188" s="165">
        <v>1318.89</v>
      </c>
      <c r="L188" s="165"/>
      <c r="M188" s="165">
        <v>1267.67</v>
      </c>
      <c r="N188" s="165">
        <v>1302.72</v>
      </c>
      <c r="O188" s="162">
        <v>1248.46</v>
      </c>
      <c r="P188" s="162">
        <v>1619.65</v>
      </c>
      <c r="Q188" s="165">
        <v>1738</v>
      </c>
      <c r="R188" s="165"/>
      <c r="S188" s="178">
        <v>1738</v>
      </c>
      <c r="T188" s="165"/>
      <c r="U188" s="165">
        <v>1902</v>
      </c>
      <c r="V188" s="181">
        <f t="shared" si="36"/>
        <v>9.4361334867663987E-2</v>
      </c>
      <c r="W188" s="180">
        <f t="shared" si="35"/>
        <v>0</v>
      </c>
    </row>
    <row r="189" spans="1:24">
      <c r="A189" s="161" t="s">
        <v>173</v>
      </c>
      <c r="B189" s="160" t="s">
        <v>458</v>
      </c>
      <c r="C189" s="160"/>
      <c r="D189" s="165"/>
      <c r="E189" s="165">
        <v>17694</v>
      </c>
      <c r="F189" s="165"/>
      <c r="G189" s="165">
        <v>22245.51</v>
      </c>
      <c r="H189" s="165"/>
      <c r="I189" s="165">
        <v>28590.61</v>
      </c>
      <c r="J189" s="165"/>
      <c r="K189" s="165">
        <v>29997.72</v>
      </c>
      <c r="L189" s="165"/>
      <c r="M189" s="165">
        <v>23657.25</v>
      </c>
      <c r="N189" s="165">
        <v>32214.65</v>
      </c>
      <c r="O189" s="162">
        <v>22306.18</v>
      </c>
      <c r="P189" s="162">
        <v>15023.61</v>
      </c>
      <c r="Q189" s="165">
        <v>16514</v>
      </c>
      <c r="R189" s="165"/>
      <c r="S189" s="178">
        <v>17000</v>
      </c>
      <c r="T189" s="165"/>
      <c r="U189" s="165">
        <v>17835</v>
      </c>
      <c r="V189" s="181">
        <f t="shared" si="36"/>
        <v>7.9992733438294786E-2</v>
      </c>
      <c r="W189" s="180">
        <f t="shared" si="35"/>
        <v>486</v>
      </c>
    </row>
    <row r="190" spans="1:24">
      <c r="A190" s="161" t="s">
        <v>174</v>
      </c>
      <c r="B190" s="160" t="s">
        <v>69</v>
      </c>
      <c r="C190" s="160"/>
      <c r="D190" s="165"/>
      <c r="E190" s="165">
        <v>704</v>
      </c>
      <c r="F190" s="165"/>
      <c r="G190" s="165">
        <v>614.96</v>
      </c>
      <c r="H190" s="165"/>
      <c r="I190" s="165">
        <v>431.28</v>
      </c>
      <c r="J190" s="165"/>
      <c r="K190" s="165">
        <v>212.8</v>
      </c>
      <c r="L190" s="165"/>
      <c r="M190" s="165">
        <v>667.91</v>
      </c>
      <c r="N190" s="165">
        <v>0</v>
      </c>
      <c r="O190" s="162">
        <v>391.92</v>
      </c>
      <c r="P190" s="162">
        <v>549.44000000000005</v>
      </c>
      <c r="Q190" s="165">
        <v>756</v>
      </c>
      <c r="R190" s="165"/>
      <c r="S190" s="178">
        <v>100</v>
      </c>
      <c r="T190" s="165"/>
      <c r="U190" s="165">
        <v>270</v>
      </c>
      <c r="V190" s="181">
        <f t="shared" si="36"/>
        <v>-0.6428571428571429</v>
      </c>
      <c r="W190" s="180">
        <f t="shared" si="35"/>
        <v>-656</v>
      </c>
    </row>
    <row r="191" spans="1:24">
      <c r="A191" s="161" t="s">
        <v>175</v>
      </c>
      <c r="B191" s="160" t="s">
        <v>165</v>
      </c>
      <c r="C191" s="160"/>
      <c r="D191" s="165"/>
      <c r="E191" s="165">
        <v>3914</v>
      </c>
      <c r="F191" s="165"/>
      <c r="G191" s="165">
        <v>2806.54</v>
      </c>
      <c r="H191" s="165"/>
      <c r="I191" s="165">
        <v>2690.94</v>
      </c>
      <c r="J191" s="165"/>
      <c r="K191" s="165">
        <v>2995.12</v>
      </c>
      <c r="L191" s="165"/>
      <c r="M191" s="165">
        <v>-1116.18</v>
      </c>
      <c r="N191" s="165">
        <v>996.95</v>
      </c>
      <c r="O191" s="162">
        <v>1070.92</v>
      </c>
      <c r="P191" s="162">
        <v>8336.69</v>
      </c>
      <c r="Q191" s="165">
        <v>8857</v>
      </c>
      <c r="R191" s="165"/>
      <c r="S191" s="178">
        <v>8857</v>
      </c>
      <c r="T191" s="165"/>
      <c r="U191" s="165">
        <v>9196</v>
      </c>
      <c r="V191" s="181">
        <f t="shared" si="36"/>
        <v>3.8274810884046516E-2</v>
      </c>
      <c r="W191" s="180">
        <f t="shared" si="35"/>
        <v>0</v>
      </c>
    </row>
    <row r="192" spans="1:24">
      <c r="A192" s="161" t="s">
        <v>176</v>
      </c>
      <c r="B192" s="160" t="s">
        <v>106</v>
      </c>
      <c r="C192" s="160"/>
      <c r="D192" s="253"/>
      <c r="E192" s="165">
        <v>1643</v>
      </c>
      <c r="F192" s="253"/>
      <c r="G192" s="165">
        <v>701.11</v>
      </c>
      <c r="H192" s="253"/>
      <c r="I192" s="165">
        <v>2669.82</v>
      </c>
      <c r="J192" s="253"/>
      <c r="K192" s="165">
        <v>1409.43</v>
      </c>
      <c r="L192" s="253"/>
      <c r="M192" s="165">
        <v>1201.04</v>
      </c>
      <c r="N192" s="165">
        <v>1298.73</v>
      </c>
      <c r="O192" s="162">
        <v>1249.5</v>
      </c>
      <c r="P192" s="162">
        <v>1564.83</v>
      </c>
      <c r="Q192" s="165">
        <v>279</v>
      </c>
      <c r="R192" s="165"/>
      <c r="S192" s="178">
        <v>2000</v>
      </c>
      <c r="T192" s="253"/>
      <c r="U192" s="165">
        <v>2125</v>
      </c>
      <c r="V192" s="181">
        <f t="shared" si="36"/>
        <v>6.6164874551971327</v>
      </c>
      <c r="W192" s="180">
        <f t="shared" si="35"/>
        <v>1721</v>
      </c>
    </row>
    <row r="193" spans="1:24">
      <c r="A193" s="161" t="s">
        <v>249</v>
      </c>
      <c r="B193" s="160" t="s">
        <v>392</v>
      </c>
      <c r="C193" s="160"/>
      <c r="D193" s="253"/>
      <c r="E193" s="165">
        <v>407</v>
      </c>
      <c r="F193" s="253"/>
      <c r="G193" s="165">
        <v>500.77</v>
      </c>
      <c r="H193" s="253"/>
      <c r="I193" s="165">
        <v>553.77</v>
      </c>
      <c r="J193" s="253"/>
      <c r="K193" s="165">
        <v>515.96</v>
      </c>
      <c r="L193" s="253"/>
      <c r="M193" s="165">
        <v>521.99</v>
      </c>
      <c r="N193" s="165">
        <v>335.42</v>
      </c>
      <c r="O193" s="162">
        <v>115.44</v>
      </c>
      <c r="P193" s="162">
        <v>123.75</v>
      </c>
      <c r="Q193" s="165">
        <v>130</v>
      </c>
      <c r="R193" s="165"/>
      <c r="S193" s="178">
        <v>115</v>
      </c>
      <c r="T193" s="253"/>
      <c r="U193" s="165">
        <v>122</v>
      </c>
      <c r="V193" s="181">
        <f t="shared" si="36"/>
        <v>-6.1538461538461542E-2</v>
      </c>
      <c r="W193" s="180">
        <f t="shared" si="35"/>
        <v>-15</v>
      </c>
    </row>
    <row r="194" spans="1:24" s="188" customFormat="1" ht="15.75">
      <c r="A194" s="161" t="s">
        <v>502</v>
      </c>
      <c r="B194" s="160" t="s">
        <v>471</v>
      </c>
      <c r="D194" s="165"/>
      <c r="E194" s="165">
        <v>16655</v>
      </c>
      <c r="F194" s="165"/>
      <c r="G194" s="165">
        <v>17321</v>
      </c>
      <c r="H194" s="165"/>
      <c r="I194" s="165">
        <v>17321</v>
      </c>
      <c r="J194" s="165"/>
      <c r="K194" s="165">
        <v>17321</v>
      </c>
      <c r="L194" s="165"/>
      <c r="M194" s="165">
        <v>17321</v>
      </c>
      <c r="N194" s="165">
        <v>17321</v>
      </c>
      <c r="O194" s="162">
        <v>17841</v>
      </c>
      <c r="P194" s="162">
        <v>21600</v>
      </c>
      <c r="Q194" s="165">
        <v>21600</v>
      </c>
      <c r="R194" s="165"/>
      <c r="S194" s="165">
        <v>21600</v>
      </c>
      <c r="T194" s="165"/>
      <c r="U194" s="165">
        <v>26600</v>
      </c>
      <c r="V194" s="181">
        <f t="shared" si="36"/>
        <v>0.23148148148148148</v>
      </c>
      <c r="W194" s="180">
        <f t="shared" si="35"/>
        <v>0</v>
      </c>
      <c r="X194" s="160"/>
    </row>
    <row r="195" spans="1:24" s="188" customFormat="1" ht="15.75">
      <c r="A195" s="161" t="s">
        <v>503</v>
      </c>
      <c r="B195" s="160" t="s">
        <v>472</v>
      </c>
      <c r="D195" s="165"/>
      <c r="E195" s="165">
        <v>13000</v>
      </c>
      <c r="F195" s="165"/>
      <c r="G195" s="165">
        <v>14000</v>
      </c>
      <c r="H195" s="165"/>
      <c r="I195" s="165">
        <v>17250</v>
      </c>
      <c r="J195" s="165"/>
      <c r="K195" s="165">
        <v>16437.5</v>
      </c>
      <c r="L195" s="165"/>
      <c r="M195" s="165">
        <v>16562.5</v>
      </c>
      <c r="N195" s="165">
        <v>16437.5</v>
      </c>
      <c r="O195" s="162">
        <v>18750</v>
      </c>
      <c r="P195" s="162">
        <v>24300</v>
      </c>
      <c r="Q195" s="165">
        <v>25000</v>
      </c>
      <c r="R195" s="165"/>
      <c r="S195" s="165">
        <v>22000</v>
      </c>
      <c r="T195" s="165"/>
      <c r="U195" s="165">
        <v>25000</v>
      </c>
      <c r="V195" s="181">
        <f t="shared" si="36"/>
        <v>0</v>
      </c>
      <c r="W195" s="180">
        <f t="shared" si="35"/>
        <v>-3000</v>
      </c>
      <c r="X195" s="160"/>
    </row>
    <row r="196" spans="1:24">
      <c r="A196" s="161" t="s">
        <v>504</v>
      </c>
      <c r="B196" s="160" t="s">
        <v>369</v>
      </c>
      <c r="C196" s="160"/>
      <c r="D196" s="165"/>
      <c r="E196" s="165">
        <v>2941</v>
      </c>
      <c r="F196" s="165"/>
      <c r="G196" s="165">
        <v>1311.89</v>
      </c>
      <c r="H196" s="165"/>
      <c r="I196" s="165">
        <v>1530.91</v>
      </c>
      <c r="J196" s="165"/>
      <c r="K196" s="165">
        <v>899.99</v>
      </c>
      <c r="L196" s="165"/>
      <c r="M196" s="165">
        <v>1495.76</v>
      </c>
      <c r="N196" s="165">
        <v>1005.61</v>
      </c>
      <c r="O196" s="162">
        <v>1625.97</v>
      </c>
      <c r="P196" s="162">
        <v>2677.21</v>
      </c>
      <c r="Q196" s="165">
        <v>4330</v>
      </c>
      <c r="R196" s="165"/>
      <c r="S196" s="165">
        <v>4000</v>
      </c>
      <c r="T196" s="165"/>
      <c r="U196" s="165">
        <v>6000</v>
      </c>
      <c r="V196" s="181">
        <f t="shared" si="36"/>
        <v>0.38568129330254042</v>
      </c>
      <c r="W196" s="180">
        <f t="shared" si="35"/>
        <v>-330</v>
      </c>
    </row>
    <row r="197" spans="1:24">
      <c r="A197" s="161" t="s">
        <v>623</v>
      </c>
      <c r="B197" s="160" t="s">
        <v>383</v>
      </c>
      <c r="C197" s="160"/>
      <c r="D197" s="253"/>
      <c r="E197" s="165">
        <v>144</v>
      </c>
      <c r="F197" s="253"/>
      <c r="G197" s="165">
        <v>1272.45</v>
      </c>
      <c r="H197" s="253"/>
      <c r="I197" s="165">
        <v>1789.3</v>
      </c>
      <c r="J197" s="253"/>
      <c r="K197" s="165">
        <v>2207.69</v>
      </c>
      <c r="L197" s="253"/>
      <c r="M197" s="165">
        <v>2628.18</v>
      </c>
      <c r="N197" s="165">
        <v>2534.21</v>
      </c>
      <c r="O197" s="162">
        <v>1923.9</v>
      </c>
      <c r="P197" s="162">
        <v>3640.61</v>
      </c>
      <c r="Q197" s="165">
        <v>4000</v>
      </c>
      <c r="R197" s="165"/>
      <c r="S197" s="165">
        <v>3000</v>
      </c>
      <c r="T197" s="253"/>
      <c r="U197" s="165">
        <v>3000</v>
      </c>
      <c r="V197" s="181">
        <f t="shared" si="36"/>
        <v>-0.25</v>
      </c>
      <c r="W197" s="180">
        <f t="shared" si="35"/>
        <v>-1000</v>
      </c>
    </row>
    <row r="198" spans="1:24" hidden="1">
      <c r="A198" s="161" t="s">
        <v>507</v>
      </c>
      <c r="B198" s="160" t="s">
        <v>384</v>
      </c>
      <c r="C198" s="160"/>
      <c r="D198" s="253"/>
      <c r="E198" s="165">
        <v>3628</v>
      </c>
      <c r="F198" s="253"/>
      <c r="G198" s="165">
        <v>4190.2299999999996</v>
      </c>
      <c r="H198" s="253"/>
      <c r="I198" s="165">
        <v>3946.71</v>
      </c>
      <c r="J198" s="253"/>
      <c r="K198" s="165">
        <v>4176.13</v>
      </c>
      <c r="L198" s="253"/>
      <c r="M198" s="165">
        <v>1854.8</v>
      </c>
      <c r="N198" s="165">
        <v>1765.35</v>
      </c>
      <c r="O198" s="162">
        <v>1894.08</v>
      </c>
      <c r="P198" s="162"/>
      <c r="R198" s="165"/>
      <c r="T198" s="253"/>
      <c r="V198" s="181">
        <v>0</v>
      </c>
      <c r="W198" s="180">
        <f t="shared" si="35"/>
        <v>0</v>
      </c>
    </row>
    <row r="199" spans="1:24" ht="15.75">
      <c r="A199" s="161" t="s">
        <v>506</v>
      </c>
      <c r="B199" s="160" t="s">
        <v>385</v>
      </c>
      <c r="C199" s="160"/>
      <c r="D199" s="165"/>
      <c r="E199" s="165">
        <v>1842</v>
      </c>
      <c r="F199" s="165"/>
      <c r="G199" s="165">
        <v>2024.1</v>
      </c>
      <c r="H199" s="165"/>
      <c r="I199" s="165">
        <v>1793.8</v>
      </c>
      <c r="J199" s="165"/>
      <c r="K199" s="165">
        <v>1439.65</v>
      </c>
      <c r="L199" s="165"/>
      <c r="M199" s="165">
        <v>1392.26</v>
      </c>
      <c r="N199" s="165">
        <v>1498.66</v>
      </c>
      <c r="O199" s="162">
        <v>1438.76</v>
      </c>
      <c r="P199" s="162">
        <v>2581.25</v>
      </c>
      <c r="Q199" s="165">
        <v>2500</v>
      </c>
      <c r="R199" s="165"/>
      <c r="S199" s="165">
        <v>3100</v>
      </c>
      <c r="T199" s="165"/>
      <c r="U199" s="165">
        <v>2600</v>
      </c>
      <c r="V199" s="181">
        <f t="shared" si="36"/>
        <v>0.04</v>
      </c>
      <c r="W199" s="180">
        <f t="shared" si="35"/>
        <v>600</v>
      </c>
      <c r="X199" s="188"/>
    </row>
    <row r="200" spans="1:24" hidden="1">
      <c r="A200" s="161" t="s">
        <v>1198</v>
      </c>
      <c r="B200" s="160" t="s">
        <v>829</v>
      </c>
      <c r="C200" s="160"/>
      <c r="D200" s="165"/>
      <c r="E200" s="165">
        <v>8209</v>
      </c>
      <c r="F200" s="165"/>
      <c r="G200" s="165">
        <v>4418.7700000000004</v>
      </c>
      <c r="H200" s="165"/>
      <c r="I200" s="165">
        <v>11302.46</v>
      </c>
      <c r="J200" s="165"/>
      <c r="K200" s="165">
        <v>10856.11</v>
      </c>
      <c r="L200" s="165"/>
      <c r="M200" s="165">
        <v>1917</v>
      </c>
      <c r="N200" s="165">
        <v>3679</v>
      </c>
      <c r="O200" s="162">
        <v>6867.25</v>
      </c>
      <c r="P200" s="162"/>
      <c r="Q200" s="178"/>
      <c r="R200" s="165"/>
      <c r="S200" s="178"/>
      <c r="T200" s="165"/>
      <c r="U200" s="178"/>
      <c r="V200" s="181">
        <v>0</v>
      </c>
      <c r="W200" s="180">
        <f t="shared" si="35"/>
        <v>0</v>
      </c>
    </row>
    <row r="201" spans="1:24" ht="15.75">
      <c r="A201" s="161" t="s">
        <v>505</v>
      </c>
      <c r="B201" s="160" t="s">
        <v>72</v>
      </c>
      <c r="C201" s="160"/>
      <c r="D201" s="193"/>
      <c r="E201" s="165">
        <v>1159</v>
      </c>
      <c r="F201" s="193"/>
      <c r="G201" s="165">
        <v>1385.39</v>
      </c>
      <c r="H201" s="193"/>
      <c r="I201" s="165">
        <v>921</v>
      </c>
      <c r="J201" s="193"/>
      <c r="K201" s="165">
        <v>1296.55</v>
      </c>
      <c r="L201" s="193"/>
      <c r="M201" s="165">
        <v>600</v>
      </c>
      <c r="N201" s="165">
        <v>862.02</v>
      </c>
      <c r="O201" s="162">
        <v>1308.29</v>
      </c>
      <c r="P201" s="162">
        <v>1899.77</v>
      </c>
      <c r="Q201" s="165">
        <v>3000</v>
      </c>
      <c r="R201" s="165"/>
      <c r="S201" s="165">
        <v>3000</v>
      </c>
      <c r="T201" s="193"/>
      <c r="U201" s="165">
        <v>3000</v>
      </c>
      <c r="V201" s="181">
        <f t="shared" si="36"/>
        <v>0</v>
      </c>
      <c r="W201" s="180">
        <f t="shared" si="35"/>
        <v>0</v>
      </c>
    </row>
    <row r="202" spans="1:24">
      <c r="A202" s="161" t="s">
        <v>177</v>
      </c>
      <c r="B202" s="160" t="s">
        <v>178</v>
      </c>
      <c r="C202" s="160"/>
      <c r="D202" s="165"/>
      <c r="E202" s="165">
        <v>241</v>
      </c>
      <c r="F202" s="165"/>
      <c r="G202" s="165">
        <v>156.83000000000001</v>
      </c>
      <c r="H202" s="165"/>
      <c r="I202" s="165">
        <v>156.83000000000001</v>
      </c>
      <c r="J202" s="165"/>
      <c r="K202" s="165">
        <v>116.83</v>
      </c>
      <c r="L202" s="165"/>
      <c r="M202" s="165">
        <v>116.83</v>
      </c>
      <c r="N202" s="165">
        <v>116.83</v>
      </c>
      <c r="O202" s="162">
        <v>126.83</v>
      </c>
      <c r="P202" s="162">
        <v>105.83</v>
      </c>
      <c r="Q202" s="165">
        <v>150</v>
      </c>
      <c r="R202" s="165"/>
      <c r="S202" s="165">
        <v>150</v>
      </c>
      <c r="T202" s="165"/>
      <c r="U202" s="165">
        <v>150</v>
      </c>
      <c r="V202" s="181">
        <f t="shared" si="36"/>
        <v>0</v>
      </c>
      <c r="W202" s="180">
        <f t="shared" si="35"/>
        <v>0</v>
      </c>
    </row>
    <row r="203" spans="1:24">
      <c r="A203" s="161" t="s">
        <v>474</v>
      </c>
      <c r="B203" s="160" t="s">
        <v>796</v>
      </c>
      <c r="C203" s="160"/>
      <c r="D203" s="165"/>
      <c r="E203" s="165">
        <v>10901</v>
      </c>
      <c r="F203" s="165"/>
      <c r="G203" s="165">
        <v>15845.5</v>
      </c>
      <c r="H203" s="165"/>
      <c r="I203" s="165">
        <v>13282.39</v>
      </c>
      <c r="J203" s="165"/>
      <c r="K203" s="165">
        <v>19813.5</v>
      </c>
      <c r="L203" s="165"/>
      <c r="M203" s="165">
        <v>11970.26</v>
      </c>
      <c r="N203" s="165">
        <v>19549.64</v>
      </c>
      <c r="O203" s="162">
        <v>19400.8</v>
      </c>
      <c r="P203" s="162">
        <v>42271.49</v>
      </c>
      <c r="Q203" s="165">
        <v>40000</v>
      </c>
      <c r="R203" s="165"/>
      <c r="S203" s="165">
        <v>34736</v>
      </c>
      <c r="T203" s="415"/>
      <c r="U203" s="165">
        <v>28000</v>
      </c>
      <c r="V203" s="181">
        <f t="shared" si="36"/>
        <v>-0.3</v>
      </c>
      <c r="W203" s="180">
        <f t="shared" si="35"/>
        <v>-5264</v>
      </c>
    </row>
    <row r="204" spans="1:24">
      <c r="A204" s="161" t="s">
        <v>1199</v>
      </c>
      <c r="B204" s="160" t="s">
        <v>1200</v>
      </c>
      <c r="C204" s="160"/>
      <c r="D204" s="165"/>
      <c r="E204" s="165">
        <v>10901</v>
      </c>
      <c r="F204" s="165"/>
      <c r="G204" s="165">
        <v>15845.5</v>
      </c>
      <c r="H204" s="165"/>
      <c r="I204" s="165">
        <v>13282.39</v>
      </c>
      <c r="J204" s="165"/>
      <c r="K204" s="165">
        <v>19813.5</v>
      </c>
      <c r="L204" s="165"/>
      <c r="M204" s="165">
        <v>11970.26</v>
      </c>
      <c r="N204" s="165">
        <v>19549.64</v>
      </c>
      <c r="O204" s="162">
        <v>19400.8</v>
      </c>
      <c r="P204" s="162">
        <v>19086.61</v>
      </c>
      <c r="Q204" s="165">
        <v>20000</v>
      </c>
      <c r="R204" s="165"/>
      <c r="S204" s="165">
        <v>20000</v>
      </c>
      <c r="T204" s="165"/>
      <c r="U204" s="165">
        <v>20000</v>
      </c>
      <c r="V204" s="181">
        <f t="shared" si="36"/>
        <v>0</v>
      </c>
      <c r="W204" s="180">
        <f>S204-Q204</f>
        <v>0</v>
      </c>
    </row>
    <row r="205" spans="1:24" ht="15.75" hidden="1">
      <c r="A205" s="161" t="s">
        <v>179</v>
      </c>
      <c r="B205" s="160" t="s">
        <v>637</v>
      </c>
      <c r="C205" s="160"/>
      <c r="D205" s="193"/>
      <c r="E205" s="165">
        <v>3124</v>
      </c>
      <c r="F205" s="193"/>
      <c r="G205" s="165">
        <v>3375.07</v>
      </c>
      <c r="H205" s="193"/>
      <c r="I205" s="165">
        <v>2163.02</v>
      </c>
      <c r="J205" s="193"/>
      <c r="K205" s="165">
        <v>1450.47</v>
      </c>
      <c r="L205" s="193"/>
      <c r="M205" s="165">
        <v>2069.4</v>
      </c>
      <c r="N205" s="165">
        <v>1346.97</v>
      </c>
      <c r="O205" s="162">
        <v>113.7</v>
      </c>
      <c r="P205" s="162"/>
      <c r="R205" s="165"/>
      <c r="T205" s="193"/>
      <c r="V205" s="181" t="e">
        <f t="shared" si="36"/>
        <v>#DIV/0!</v>
      </c>
      <c r="W205" s="180">
        <f t="shared" si="35"/>
        <v>0</v>
      </c>
    </row>
    <row r="206" spans="1:24" ht="15.75">
      <c r="A206" s="161" t="s">
        <v>1250</v>
      </c>
      <c r="B206" s="160" t="s">
        <v>1251</v>
      </c>
      <c r="C206" s="160"/>
      <c r="D206" s="193"/>
      <c r="E206" s="165"/>
      <c r="F206" s="193"/>
      <c r="G206" s="165"/>
      <c r="H206" s="193"/>
      <c r="I206" s="165"/>
      <c r="J206" s="193"/>
      <c r="K206" s="165"/>
      <c r="L206" s="193"/>
      <c r="M206" s="165"/>
      <c r="N206" s="165"/>
      <c r="O206" s="162"/>
      <c r="P206" s="162">
        <v>58.88</v>
      </c>
      <c r="Q206" s="165">
        <v>200</v>
      </c>
      <c r="R206" s="165"/>
      <c r="S206" s="165">
        <v>200</v>
      </c>
      <c r="T206" s="193"/>
      <c r="U206" s="165">
        <v>200</v>
      </c>
      <c r="V206" s="181">
        <f t="shared" si="36"/>
        <v>0</v>
      </c>
      <c r="W206" s="180">
        <f t="shared" si="35"/>
        <v>0</v>
      </c>
    </row>
    <row r="207" spans="1:24" ht="15.75">
      <c r="B207" s="172" t="s">
        <v>470</v>
      </c>
      <c r="C207" s="161"/>
      <c r="D207" s="332"/>
      <c r="E207" s="287">
        <f>SUM(E185:E205)</f>
        <v>184112</v>
      </c>
      <c r="F207" s="332"/>
      <c r="G207" s="287">
        <f>SUM(G185:G205)</f>
        <v>196031.48000000004</v>
      </c>
      <c r="H207" s="332"/>
      <c r="I207" s="287">
        <f>SUM(I185:I205)</f>
        <v>212449.12999999998</v>
      </c>
      <c r="J207" s="332"/>
      <c r="K207" s="287">
        <f>SUM(K185:K205)</f>
        <v>228704.72999999992</v>
      </c>
      <c r="L207" s="332"/>
      <c r="M207" s="287">
        <f t="shared" ref="M207:R207" si="37">SUM(M185:M205)</f>
        <v>185542.65000000002</v>
      </c>
      <c r="N207" s="287">
        <f t="shared" si="37"/>
        <v>214021.22999999995</v>
      </c>
      <c r="O207" s="285">
        <f t="shared" si="37"/>
        <v>210473.53</v>
      </c>
      <c r="P207" s="333">
        <f>SUM(P185:P206)</f>
        <v>264922.34999999992</v>
      </c>
      <c r="Q207" s="333">
        <f>SUM(Q185:Q206)</f>
        <v>276326</v>
      </c>
      <c r="R207" s="242">
        <f t="shared" si="37"/>
        <v>0</v>
      </c>
      <c r="S207" s="242">
        <f>SUM(S185:S206)</f>
        <v>268368</v>
      </c>
      <c r="T207" s="399"/>
      <c r="U207" s="242">
        <f>SUM(U185:U206)</f>
        <v>285307</v>
      </c>
      <c r="V207" s="384">
        <f>(U207-Q207)/Q207</f>
        <v>3.2501465660126086E-2</v>
      </c>
      <c r="W207" s="192">
        <f>SUM(W185:W206)</f>
        <v>-7958</v>
      </c>
    </row>
    <row r="208" spans="1:24" ht="15.75">
      <c r="B208" s="172"/>
      <c r="C208" s="161"/>
      <c r="D208" s="165"/>
      <c r="E208" s="165"/>
      <c r="F208" s="165"/>
      <c r="G208" s="165"/>
      <c r="H208" s="165"/>
      <c r="I208" s="165"/>
      <c r="J208" s="165"/>
      <c r="K208" s="165"/>
      <c r="L208" s="165"/>
      <c r="M208" s="165"/>
      <c r="N208" s="165"/>
      <c r="R208" s="253"/>
      <c r="T208" s="165"/>
      <c r="W208" s="180"/>
      <c r="X208" s="188"/>
    </row>
    <row r="209" spans="1:60" ht="15.75">
      <c r="A209" s="423" t="s">
        <v>1370</v>
      </c>
      <c r="B209" s="423"/>
      <c r="C209" s="423"/>
      <c r="D209" s="165"/>
      <c r="E209" s="165"/>
      <c r="F209" s="165"/>
      <c r="G209" s="165"/>
      <c r="H209" s="165"/>
      <c r="I209" s="165"/>
      <c r="J209" s="165"/>
      <c r="K209" s="165"/>
      <c r="L209" s="165"/>
      <c r="M209" s="165"/>
      <c r="N209" s="165"/>
      <c r="Q209" s="193"/>
      <c r="R209" s="253"/>
      <c r="S209" s="193"/>
      <c r="T209" s="165"/>
      <c r="U209" s="193"/>
      <c r="W209" s="180"/>
    </row>
    <row r="210" spans="1:60" ht="15.75">
      <c r="A210" s="161" t="s">
        <v>508</v>
      </c>
      <c r="B210" s="160" t="s">
        <v>391</v>
      </c>
      <c r="C210" s="160"/>
      <c r="D210" s="193"/>
      <c r="E210" s="165">
        <v>11223</v>
      </c>
      <c r="F210" s="193"/>
      <c r="G210" s="165">
        <v>10565</v>
      </c>
      <c r="H210" s="193"/>
      <c r="I210" s="165">
        <v>11138.06</v>
      </c>
      <c r="J210" s="193"/>
      <c r="K210" s="165">
        <v>10759.26</v>
      </c>
      <c r="L210" s="193"/>
      <c r="M210" s="165">
        <v>10778.54</v>
      </c>
      <c r="N210" s="165">
        <v>11127</v>
      </c>
      <c r="O210" s="162">
        <v>13875</v>
      </c>
      <c r="P210" s="162">
        <v>28265</v>
      </c>
      <c r="Q210" s="165">
        <v>30200</v>
      </c>
      <c r="R210" s="165"/>
      <c r="S210" s="165">
        <v>32204</v>
      </c>
      <c r="T210" s="193"/>
      <c r="U210" s="165">
        <v>33967</v>
      </c>
      <c r="V210" s="181">
        <f>(U210-Q210)/Q210</f>
        <v>0.12473509933774835</v>
      </c>
      <c r="W210" s="180">
        <f t="shared" si="35"/>
        <v>2004</v>
      </c>
    </row>
    <row r="211" spans="1:60" s="188" customFormat="1" ht="15.75">
      <c r="A211" s="161" t="s">
        <v>607</v>
      </c>
      <c r="B211" s="160" t="s">
        <v>181</v>
      </c>
      <c r="D211" s="253"/>
      <c r="E211" s="165">
        <v>7296</v>
      </c>
      <c r="F211" s="253"/>
      <c r="G211" s="165">
        <v>7606.4</v>
      </c>
      <c r="H211" s="253"/>
      <c r="I211" s="165">
        <v>7650.26</v>
      </c>
      <c r="J211" s="253"/>
      <c r="K211" s="165">
        <v>8877.6</v>
      </c>
      <c r="L211" s="253"/>
      <c r="M211" s="165">
        <f>8857.24+4.67</f>
        <v>8861.91</v>
      </c>
      <c r="N211" s="165">
        <v>8770.39</v>
      </c>
      <c r="O211" s="162">
        <v>10269.879999999999</v>
      </c>
      <c r="P211" s="162">
        <v>16269.27</v>
      </c>
      <c r="Q211" s="165">
        <v>16000</v>
      </c>
      <c r="R211" s="165"/>
      <c r="S211" s="165">
        <v>19000</v>
      </c>
      <c r="T211" s="253"/>
      <c r="U211" s="165">
        <v>19000</v>
      </c>
      <c r="V211" s="181">
        <f>(U211-Q211)/Q211</f>
        <v>0.1875</v>
      </c>
      <c r="W211" s="180">
        <f t="shared" si="35"/>
        <v>3000</v>
      </c>
      <c r="X211" s="160"/>
      <c r="Y211" s="160"/>
      <c r="Z211" s="160"/>
      <c r="AA211" s="160"/>
      <c r="AB211" s="160"/>
      <c r="AC211" s="160"/>
      <c r="AD211" s="160"/>
      <c r="AE211" s="160"/>
      <c r="AF211" s="160"/>
      <c r="AG211" s="160"/>
      <c r="AH211" s="160"/>
      <c r="AI211" s="160"/>
      <c r="AJ211" s="160"/>
      <c r="AK211" s="160"/>
      <c r="AL211" s="160"/>
      <c r="AM211" s="160"/>
      <c r="AN211" s="160"/>
      <c r="AO211" s="160"/>
      <c r="AP211" s="160"/>
      <c r="AQ211" s="160"/>
      <c r="AR211" s="160"/>
      <c r="AS211" s="160"/>
      <c r="AT211" s="160"/>
      <c r="AU211" s="160"/>
      <c r="AV211" s="160"/>
      <c r="AW211" s="160"/>
      <c r="AX211" s="160"/>
      <c r="AY211" s="160"/>
      <c r="AZ211" s="160"/>
      <c r="BA211" s="160"/>
      <c r="BB211" s="160"/>
      <c r="BC211" s="160"/>
      <c r="BD211" s="160"/>
      <c r="BE211" s="160"/>
      <c r="BF211" s="160"/>
      <c r="BG211" s="160"/>
      <c r="BH211" s="160"/>
    </row>
    <row r="212" spans="1:60" ht="15.75">
      <c r="B212" s="172" t="s">
        <v>470</v>
      </c>
      <c r="C212" s="177"/>
      <c r="D212" s="332"/>
      <c r="E212" s="287">
        <f>SUM(E210:E211)</f>
        <v>18519</v>
      </c>
      <c r="F212" s="332"/>
      <c r="G212" s="287">
        <f>SUM(G210:G211)</f>
        <v>18171.400000000001</v>
      </c>
      <c r="H212" s="332"/>
      <c r="I212" s="287">
        <f>SUM(I210:I211)</f>
        <v>18788.32</v>
      </c>
      <c r="J212" s="332"/>
      <c r="K212" s="287">
        <f>SUM(K210:K211)</f>
        <v>19636.86</v>
      </c>
      <c r="L212" s="332"/>
      <c r="M212" s="287">
        <f t="shared" ref="M212:S212" si="38">SUM(M210:M211)</f>
        <v>19640.45</v>
      </c>
      <c r="N212" s="287">
        <f t="shared" si="38"/>
        <v>19897.39</v>
      </c>
      <c r="O212" s="285">
        <f t="shared" si="38"/>
        <v>24144.879999999997</v>
      </c>
      <c r="P212" s="333">
        <f>SUM(P210:P211)</f>
        <v>44534.270000000004</v>
      </c>
      <c r="Q212" s="333">
        <f>SUM(Q210:Q211)</f>
        <v>46200</v>
      </c>
      <c r="R212" s="242">
        <f t="shared" si="38"/>
        <v>0</v>
      </c>
      <c r="S212" s="242">
        <f t="shared" si="38"/>
        <v>51204</v>
      </c>
      <c r="T212" s="399"/>
      <c r="U212" s="242">
        <f>SUM(U210:U211)</f>
        <v>52967</v>
      </c>
      <c r="V212" s="384">
        <f>(U212-Q212)/Q212</f>
        <v>0.14647186147186148</v>
      </c>
      <c r="W212" s="192">
        <f t="shared" si="35"/>
        <v>5004</v>
      </c>
    </row>
    <row r="213" spans="1:60" ht="15.75">
      <c r="B213" s="172"/>
      <c r="C213" s="177"/>
      <c r="D213" s="165"/>
      <c r="E213" s="193"/>
      <c r="F213" s="165"/>
      <c r="G213" s="193"/>
      <c r="H213" s="165"/>
      <c r="I213" s="193"/>
      <c r="J213" s="165"/>
      <c r="K213" s="193"/>
      <c r="L213" s="165"/>
      <c r="M213" s="193"/>
      <c r="N213" s="193"/>
      <c r="O213" s="292"/>
      <c r="P213" s="292"/>
      <c r="Q213" s="292"/>
      <c r="R213" s="193"/>
      <c r="S213" s="193"/>
      <c r="T213" s="165"/>
      <c r="U213" s="193"/>
      <c r="V213" s="394"/>
      <c r="W213" s="392"/>
    </row>
    <row r="214" spans="1:60" ht="15.75">
      <c r="A214" s="423" t="s">
        <v>1383</v>
      </c>
      <c r="B214" s="423"/>
      <c r="C214" s="423"/>
      <c r="E214" s="331"/>
      <c r="G214" s="260"/>
      <c r="H214" s="165"/>
      <c r="I214" s="260"/>
      <c r="J214" s="165"/>
      <c r="K214" s="260"/>
      <c r="L214" s="165"/>
      <c r="M214" s="260"/>
      <c r="N214" s="260"/>
      <c r="O214" s="185"/>
      <c r="P214" s="185"/>
      <c r="R214" s="253"/>
      <c r="T214" s="165"/>
      <c r="V214" s="394"/>
      <c r="W214" s="392"/>
    </row>
    <row r="215" spans="1:60" ht="15.75">
      <c r="A215" s="420" t="s">
        <v>841</v>
      </c>
      <c r="B215" s="160" t="s">
        <v>839</v>
      </c>
      <c r="C215" s="160"/>
      <c r="D215" s="165"/>
      <c r="E215" s="165">
        <v>96959</v>
      </c>
      <c r="F215" s="165"/>
      <c r="G215" s="165">
        <v>0</v>
      </c>
      <c r="H215" s="165"/>
      <c r="I215" s="165">
        <v>0</v>
      </c>
      <c r="J215" s="165"/>
      <c r="K215" s="165">
        <v>7958.04</v>
      </c>
      <c r="L215" s="165"/>
      <c r="M215" s="165">
        <v>7926.4</v>
      </c>
      <c r="N215" s="165">
        <v>8258.6</v>
      </c>
      <c r="O215" s="162">
        <v>8759.16</v>
      </c>
      <c r="P215" s="162">
        <v>18938.16</v>
      </c>
      <c r="Q215" s="178">
        <v>40420</v>
      </c>
      <c r="R215" s="178"/>
      <c r="S215" s="178">
        <v>35000</v>
      </c>
      <c r="T215" s="165"/>
      <c r="U215" s="178">
        <v>39000</v>
      </c>
      <c r="V215" s="394"/>
      <c r="W215" s="392"/>
    </row>
    <row r="216" spans="1:60" ht="15.75">
      <c r="A216" s="161" t="s">
        <v>842</v>
      </c>
      <c r="B216" s="160" t="s">
        <v>158</v>
      </c>
      <c r="C216" s="160"/>
      <c r="D216" s="165"/>
      <c r="E216" s="165">
        <v>369</v>
      </c>
      <c r="F216" s="165"/>
      <c r="G216" s="165">
        <v>0</v>
      </c>
      <c r="H216" s="165"/>
      <c r="I216" s="165">
        <v>0</v>
      </c>
      <c r="J216" s="165"/>
      <c r="K216" s="165">
        <v>0</v>
      </c>
      <c r="L216" s="165"/>
      <c r="M216" s="165">
        <v>0</v>
      </c>
      <c r="N216" s="165"/>
      <c r="O216" s="162"/>
      <c r="P216" s="162">
        <v>0</v>
      </c>
      <c r="Q216" s="178">
        <v>500</v>
      </c>
      <c r="R216" s="178"/>
      <c r="S216" s="178">
        <v>0</v>
      </c>
      <c r="T216" s="165"/>
      <c r="U216" s="178">
        <v>0</v>
      </c>
      <c r="V216" s="394"/>
      <c r="W216" s="392"/>
    </row>
    <row r="217" spans="1:60" ht="15.75">
      <c r="A217" s="161" t="s">
        <v>843</v>
      </c>
      <c r="B217" s="160" t="s">
        <v>105</v>
      </c>
      <c r="C217" s="160"/>
      <c r="D217" s="165"/>
      <c r="E217" s="165">
        <v>6771</v>
      </c>
      <c r="F217" s="165"/>
      <c r="G217" s="165">
        <v>0</v>
      </c>
      <c r="H217" s="165"/>
      <c r="I217" s="165">
        <v>0</v>
      </c>
      <c r="J217" s="165"/>
      <c r="K217" s="165">
        <v>471.89</v>
      </c>
      <c r="L217" s="165"/>
      <c r="M217" s="165">
        <v>466.85</v>
      </c>
      <c r="N217" s="165">
        <v>477.02</v>
      </c>
      <c r="O217" s="162">
        <v>536.02</v>
      </c>
      <c r="P217" s="162">
        <v>1143.57</v>
      </c>
      <c r="Q217" s="178">
        <v>2537</v>
      </c>
      <c r="R217" s="178"/>
      <c r="S217" s="178">
        <v>2220</v>
      </c>
      <c r="T217" s="165"/>
      <c r="U217" s="178">
        <v>2418</v>
      </c>
      <c r="V217" s="394"/>
      <c r="W217" s="392"/>
    </row>
    <row r="218" spans="1:60" ht="15.75">
      <c r="A218" s="161" t="s">
        <v>844</v>
      </c>
      <c r="B218" s="160" t="s">
        <v>67</v>
      </c>
      <c r="C218" s="160"/>
      <c r="D218" s="165"/>
      <c r="E218" s="165">
        <v>1646</v>
      </c>
      <c r="F218" s="165"/>
      <c r="G218" s="165">
        <v>0</v>
      </c>
      <c r="H218" s="165"/>
      <c r="I218" s="165">
        <v>0</v>
      </c>
      <c r="J218" s="165"/>
      <c r="K218" s="165">
        <v>110.37</v>
      </c>
      <c r="L218" s="165"/>
      <c r="M218" s="165">
        <v>109.21</v>
      </c>
      <c r="N218" s="165">
        <v>111.55</v>
      </c>
      <c r="O218" s="162">
        <v>125.44</v>
      </c>
      <c r="P218" s="162">
        <v>267.43</v>
      </c>
      <c r="Q218" s="178">
        <v>593</v>
      </c>
      <c r="R218" s="178"/>
      <c r="S218" s="178">
        <v>528</v>
      </c>
      <c r="T218" s="165"/>
      <c r="U218" s="178">
        <v>566</v>
      </c>
      <c r="V218" s="394"/>
      <c r="W218" s="392"/>
    </row>
    <row r="219" spans="1:60" ht="15.75">
      <c r="A219" s="161" t="s">
        <v>845</v>
      </c>
      <c r="B219" s="160" t="s">
        <v>162</v>
      </c>
      <c r="C219" s="160"/>
      <c r="D219" s="165"/>
      <c r="E219" s="165">
        <v>13059</v>
      </c>
      <c r="F219" s="165"/>
      <c r="G219" s="165">
        <v>0</v>
      </c>
      <c r="H219" s="165"/>
      <c r="I219" s="165">
        <v>0</v>
      </c>
      <c r="J219" s="165"/>
      <c r="K219" s="165">
        <v>4810.74</v>
      </c>
      <c r="L219" s="165"/>
      <c r="M219" s="165">
        <v>5779.12</v>
      </c>
      <c r="N219" s="165">
        <v>6456.02</v>
      </c>
      <c r="O219" s="162">
        <v>2769.12</v>
      </c>
      <c r="P219" s="162">
        <v>2651.76</v>
      </c>
      <c r="Q219" s="178">
        <v>5505</v>
      </c>
      <c r="R219" s="178"/>
      <c r="S219" s="178">
        <v>2952</v>
      </c>
      <c r="T219" s="165"/>
      <c r="U219" s="178">
        <v>2973</v>
      </c>
      <c r="V219" s="394"/>
      <c r="W219" s="392"/>
    </row>
    <row r="220" spans="1:60" ht="15.75">
      <c r="A220" s="161" t="s">
        <v>846</v>
      </c>
      <c r="B220" s="160" t="s">
        <v>69</v>
      </c>
      <c r="C220" s="160"/>
      <c r="D220" s="165"/>
      <c r="E220" s="165">
        <v>1010</v>
      </c>
      <c r="F220" s="165"/>
      <c r="G220" s="165">
        <v>0</v>
      </c>
      <c r="H220" s="165"/>
      <c r="I220" s="165">
        <v>0</v>
      </c>
      <c r="J220" s="165"/>
      <c r="K220" s="165">
        <v>36.01</v>
      </c>
      <c r="L220" s="165"/>
      <c r="M220" s="165">
        <v>130.52000000000001</v>
      </c>
      <c r="N220" s="165">
        <v>51.58</v>
      </c>
      <c r="O220" s="162">
        <v>43.22</v>
      </c>
      <c r="P220" s="162">
        <v>103.04</v>
      </c>
      <c r="Q220" s="178">
        <v>252</v>
      </c>
      <c r="R220" s="178"/>
      <c r="S220" s="178">
        <v>10</v>
      </c>
      <c r="T220" s="165"/>
      <c r="U220" s="178">
        <v>45</v>
      </c>
      <c r="V220" s="394"/>
      <c r="W220" s="392"/>
    </row>
    <row r="221" spans="1:60" ht="15.75">
      <c r="A221" s="161" t="s">
        <v>847</v>
      </c>
      <c r="B221" s="160" t="s">
        <v>165</v>
      </c>
      <c r="C221" s="160"/>
      <c r="D221" s="165"/>
      <c r="E221" s="165">
        <v>5607</v>
      </c>
      <c r="F221" s="165"/>
      <c r="G221" s="165">
        <v>0</v>
      </c>
      <c r="H221" s="165"/>
      <c r="I221" s="165">
        <v>0</v>
      </c>
      <c r="J221" s="165"/>
      <c r="K221" s="165">
        <v>282.26</v>
      </c>
      <c r="L221" s="165"/>
      <c r="M221" s="165">
        <v>144.91999999999999</v>
      </c>
      <c r="N221" s="165">
        <v>105.62</v>
      </c>
      <c r="O221" s="162">
        <v>110.77</v>
      </c>
      <c r="P221" s="162">
        <v>1402.58</v>
      </c>
      <c r="Q221" s="178">
        <v>3024</v>
      </c>
      <c r="R221" s="178"/>
      <c r="S221" s="178">
        <v>2600</v>
      </c>
      <c r="T221" s="165"/>
      <c r="U221" s="178">
        <v>2734</v>
      </c>
      <c r="V221" s="394"/>
      <c r="W221" s="392"/>
    </row>
    <row r="222" spans="1:60" ht="15.75">
      <c r="A222" s="161" t="s">
        <v>848</v>
      </c>
      <c r="B222" s="160" t="s">
        <v>106</v>
      </c>
      <c r="C222" s="160"/>
      <c r="D222" s="253"/>
      <c r="E222" s="165">
        <v>1190</v>
      </c>
      <c r="F222" s="253"/>
      <c r="G222" s="165">
        <v>0</v>
      </c>
      <c r="H222" s="253"/>
      <c r="I222" s="165">
        <v>0</v>
      </c>
      <c r="J222" s="253"/>
      <c r="K222" s="165">
        <v>48.95</v>
      </c>
      <c r="L222" s="253"/>
      <c r="M222" s="165">
        <v>42.64</v>
      </c>
      <c r="N222" s="165">
        <v>44.09</v>
      </c>
      <c r="O222" s="162">
        <v>45.19</v>
      </c>
      <c r="P222" s="162">
        <v>44.74</v>
      </c>
      <c r="Q222" s="178">
        <v>95</v>
      </c>
      <c r="R222" s="178"/>
      <c r="S222" s="178">
        <v>100</v>
      </c>
      <c r="T222" s="253"/>
      <c r="U222" s="178">
        <v>92</v>
      </c>
      <c r="V222" s="394"/>
      <c r="W222" s="392"/>
    </row>
    <row r="223" spans="1:60" ht="15.75">
      <c r="A223" s="161" t="s">
        <v>849</v>
      </c>
      <c r="B223" s="160" t="s">
        <v>392</v>
      </c>
      <c r="C223" s="160"/>
      <c r="D223" s="253"/>
      <c r="E223" s="165">
        <v>218</v>
      </c>
      <c r="F223" s="253"/>
      <c r="G223" s="165">
        <v>0</v>
      </c>
      <c r="H223" s="253"/>
      <c r="I223" s="165">
        <v>0</v>
      </c>
      <c r="J223" s="253"/>
      <c r="K223" s="165">
        <v>23.66</v>
      </c>
      <c r="L223" s="253"/>
      <c r="M223" s="165">
        <v>21.55</v>
      </c>
      <c r="N223" s="165">
        <v>26.4</v>
      </c>
      <c r="O223" s="162">
        <v>28.8</v>
      </c>
      <c r="P223" s="162">
        <v>22.5</v>
      </c>
      <c r="Q223" s="178">
        <v>43</v>
      </c>
      <c r="R223" s="178"/>
      <c r="S223" s="178">
        <v>43</v>
      </c>
      <c r="T223" s="253"/>
      <c r="U223" s="178">
        <v>20</v>
      </c>
      <c r="V223" s="394"/>
      <c r="W223" s="392"/>
    </row>
    <row r="224" spans="1:60" ht="15.75">
      <c r="A224" s="161" t="s">
        <v>1234</v>
      </c>
      <c r="B224" s="160" t="s">
        <v>1391</v>
      </c>
      <c r="C224" s="160"/>
      <c r="D224" s="253"/>
      <c r="E224" s="165"/>
      <c r="F224" s="253"/>
      <c r="G224" s="165"/>
      <c r="H224" s="253"/>
      <c r="I224" s="165"/>
      <c r="J224" s="253"/>
      <c r="K224" s="165"/>
      <c r="L224" s="253"/>
      <c r="M224" s="165"/>
      <c r="N224" s="165"/>
      <c r="O224" s="162">
        <v>0</v>
      </c>
      <c r="P224" s="162">
        <v>9030</v>
      </c>
      <c r="Q224" s="178">
        <v>9600</v>
      </c>
      <c r="R224" s="178"/>
      <c r="S224" s="178">
        <v>9600</v>
      </c>
      <c r="T224" s="253"/>
      <c r="U224" s="178">
        <v>12500</v>
      </c>
      <c r="V224" s="394"/>
      <c r="W224" s="392"/>
    </row>
    <row r="225" spans="1:60" ht="15.75">
      <c r="A225" s="161" t="s">
        <v>1462</v>
      </c>
      <c r="B225" s="160" t="s">
        <v>385</v>
      </c>
      <c r="C225" s="160"/>
      <c r="D225" s="193"/>
      <c r="E225" s="165">
        <v>7990</v>
      </c>
      <c r="F225" s="193"/>
      <c r="G225" s="165">
        <v>0</v>
      </c>
      <c r="H225" s="193"/>
      <c r="I225" s="165">
        <v>0</v>
      </c>
      <c r="J225" s="193"/>
      <c r="K225" s="165">
        <v>600</v>
      </c>
      <c r="L225" s="193"/>
      <c r="M225" s="165">
        <v>600</v>
      </c>
      <c r="N225" s="165">
        <v>300</v>
      </c>
      <c r="O225" s="162">
        <v>300</v>
      </c>
      <c r="P225" s="162">
        <v>0</v>
      </c>
      <c r="Q225" s="178">
        <v>528</v>
      </c>
      <c r="R225" s="178"/>
      <c r="S225" s="165">
        <v>50</v>
      </c>
      <c r="T225" s="193"/>
      <c r="U225" s="178">
        <v>200</v>
      </c>
      <c r="V225" s="394"/>
      <c r="W225" s="392"/>
    </row>
    <row r="226" spans="1:60" ht="15.75">
      <c r="A226" s="160" t="s">
        <v>903</v>
      </c>
      <c r="B226" s="160" t="s">
        <v>606</v>
      </c>
      <c r="C226" s="160"/>
      <c r="D226" s="165"/>
      <c r="E226" s="165"/>
      <c r="F226" s="165"/>
      <c r="G226" s="165">
        <v>0</v>
      </c>
      <c r="H226" s="165"/>
      <c r="I226" s="165">
        <v>0</v>
      </c>
      <c r="J226" s="165"/>
      <c r="K226" s="165">
        <v>11960.13</v>
      </c>
      <c r="L226" s="165"/>
      <c r="M226" s="165">
        <v>8897.99</v>
      </c>
      <c r="N226" s="165">
        <v>6399.98</v>
      </c>
      <c r="O226" s="162">
        <v>981.49</v>
      </c>
      <c r="P226" s="162">
        <v>18800.43</v>
      </c>
      <c r="Q226" s="165">
        <v>13415.41</v>
      </c>
      <c r="R226" s="165"/>
      <c r="S226" s="165">
        <v>13415.41</v>
      </c>
      <c r="T226" s="165"/>
      <c r="U226" s="165">
        <v>73568</v>
      </c>
      <c r="V226" s="394"/>
      <c r="W226" s="392"/>
    </row>
    <row r="227" spans="1:60" ht="15.75">
      <c r="A227" s="161" t="s">
        <v>850</v>
      </c>
      <c r="B227" s="160" t="s">
        <v>804</v>
      </c>
      <c r="C227" s="160"/>
      <c r="D227" s="165"/>
      <c r="E227" s="165">
        <v>26412</v>
      </c>
      <c r="F227" s="165"/>
      <c r="G227" s="165">
        <v>0</v>
      </c>
      <c r="H227" s="165"/>
      <c r="I227" s="165">
        <v>0</v>
      </c>
      <c r="J227" s="165"/>
      <c r="K227" s="165">
        <v>2427.96</v>
      </c>
      <c r="L227" s="165"/>
      <c r="M227" s="165">
        <v>3339.98</v>
      </c>
      <c r="N227" s="165">
        <v>1357.84</v>
      </c>
      <c r="O227" s="162">
        <v>7188.76</v>
      </c>
      <c r="P227" s="162">
        <v>16148.99</v>
      </c>
      <c r="Q227" s="165">
        <v>2000</v>
      </c>
      <c r="R227" s="178"/>
      <c r="S227" s="165">
        <v>2000</v>
      </c>
      <c r="T227" s="165"/>
      <c r="U227" s="178">
        <v>2000</v>
      </c>
      <c r="V227" s="394"/>
      <c r="W227" s="392"/>
    </row>
    <row r="228" spans="1:60" ht="15.75">
      <c r="A228" s="161" t="s">
        <v>851</v>
      </c>
      <c r="B228" s="160" t="s">
        <v>805</v>
      </c>
      <c r="C228" s="160"/>
      <c r="D228" s="165"/>
      <c r="E228" s="165">
        <v>10000</v>
      </c>
      <c r="F228" s="165"/>
      <c r="G228" s="165">
        <v>0</v>
      </c>
      <c r="H228" s="165"/>
      <c r="I228" s="165">
        <v>0</v>
      </c>
      <c r="J228" s="165"/>
      <c r="K228" s="165">
        <v>0</v>
      </c>
      <c r="L228" s="165"/>
      <c r="M228" s="165">
        <v>0</v>
      </c>
      <c r="N228" s="165">
        <v>1261.1500000000001</v>
      </c>
      <c r="O228" s="162">
        <v>4897.0600000000004</v>
      </c>
      <c r="P228" s="162">
        <v>872.2</v>
      </c>
      <c r="Q228" s="165">
        <v>1000</v>
      </c>
      <c r="R228" s="178"/>
      <c r="S228" s="165">
        <v>1000</v>
      </c>
      <c r="T228" s="165"/>
      <c r="U228" s="178">
        <v>1000</v>
      </c>
      <c r="V228" s="394"/>
      <c r="W228" s="392"/>
    </row>
    <row r="229" spans="1:60" ht="15.75">
      <c r="A229" s="161" t="s">
        <v>853</v>
      </c>
      <c r="B229" s="160" t="s">
        <v>807</v>
      </c>
      <c r="C229" s="160"/>
      <c r="D229" s="165"/>
      <c r="E229" s="165">
        <v>2066</v>
      </c>
      <c r="F229" s="165"/>
      <c r="G229" s="165">
        <v>0</v>
      </c>
      <c r="H229" s="165"/>
      <c r="I229" s="165">
        <v>0</v>
      </c>
      <c r="J229" s="165"/>
      <c r="K229" s="165">
        <v>1405</v>
      </c>
      <c r="L229" s="165"/>
      <c r="M229" s="165">
        <v>5165</v>
      </c>
      <c r="N229" s="165">
        <v>736.57</v>
      </c>
      <c r="O229" s="162">
        <v>2491.4699999999998</v>
      </c>
      <c r="P229" s="162">
        <v>351.98</v>
      </c>
      <c r="Q229" s="178">
        <v>0</v>
      </c>
      <c r="R229" s="178"/>
      <c r="S229" s="165">
        <v>0</v>
      </c>
      <c r="T229" s="165"/>
      <c r="U229" s="178">
        <v>7303</v>
      </c>
      <c r="V229" s="394"/>
      <c r="W229" s="392"/>
    </row>
    <row r="230" spans="1:60" ht="15.75">
      <c r="B230" s="172" t="s">
        <v>470</v>
      </c>
      <c r="C230" s="177"/>
      <c r="D230" s="332"/>
      <c r="E230" s="287">
        <f>SUM(E215:E229)</f>
        <v>173297</v>
      </c>
      <c r="F230" s="332"/>
      <c r="G230" s="287">
        <f>SUM(G215:G229)</f>
        <v>0</v>
      </c>
      <c r="H230" s="332"/>
      <c r="I230" s="287">
        <f>SUM(I215:I229)</f>
        <v>0</v>
      </c>
      <c r="J230" s="332"/>
      <c r="K230" s="287">
        <f>SUM(K215:K229)</f>
        <v>30135.010000000002</v>
      </c>
      <c r="L230" s="332"/>
      <c r="M230" s="287">
        <f t="shared" ref="M230:U230" si="39">SUM(M215:M229)</f>
        <v>32624.179999999997</v>
      </c>
      <c r="N230" s="287">
        <f t="shared" si="39"/>
        <v>25586.420000000002</v>
      </c>
      <c r="O230" s="285">
        <f t="shared" si="39"/>
        <v>28276.500000000004</v>
      </c>
      <c r="P230" s="333">
        <f t="shared" si="39"/>
        <v>69777.37999999999</v>
      </c>
      <c r="Q230" s="242">
        <f t="shared" si="39"/>
        <v>79512.41</v>
      </c>
      <c r="R230" s="242">
        <f t="shared" si="39"/>
        <v>0</v>
      </c>
      <c r="S230" s="242">
        <f t="shared" si="39"/>
        <v>69518.41</v>
      </c>
      <c r="T230" s="242">
        <f t="shared" si="39"/>
        <v>0</v>
      </c>
      <c r="U230" s="242">
        <f t="shared" si="39"/>
        <v>144419</v>
      </c>
      <c r="V230" s="394"/>
      <c r="W230" s="392"/>
    </row>
    <row r="231" spans="1:60">
      <c r="C231" s="161"/>
      <c r="G231" s="165"/>
      <c r="H231" s="165"/>
      <c r="I231" s="165"/>
      <c r="J231" s="165"/>
      <c r="K231" s="165"/>
      <c r="L231" s="165"/>
      <c r="M231" s="165"/>
      <c r="N231" s="165"/>
      <c r="R231" s="253"/>
      <c r="T231" s="165"/>
      <c r="W231" s="180"/>
    </row>
    <row r="232" spans="1:60" ht="15.75">
      <c r="A232" s="423" t="s">
        <v>1371</v>
      </c>
      <c r="B232" s="423"/>
      <c r="C232" s="423"/>
      <c r="G232" s="165"/>
      <c r="H232" s="165"/>
      <c r="I232" s="165"/>
      <c r="J232" s="165"/>
      <c r="K232" s="165"/>
      <c r="L232" s="165"/>
      <c r="M232" s="165"/>
      <c r="N232" s="165"/>
      <c r="R232" s="253"/>
      <c r="T232" s="165"/>
      <c r="W232" s="180"/>
    </row>
    <row r="233" spans="1:60">
      <c r="A233" s="161" t="s">
        <v>624</v>
      </c>
      <c r="B233" s="160" t="s">
        <v>625</v>
      </c>
      <c r="C233" s="160"/>
      <c r="D233" s="165"/>
      <c r="E233" s="165">
        <v>0</v>
      </c>
      <c r="F233" s="165"/>
      <c r="G233" s="165">
        <v>7824.66</v>
      </c>
      <c r="H233" s="165"/>
      <c r="I233" s="165">
        <v>6815.89</v>
      </c>
      <c r="J233" s="165"/>
      <c r="K233" s="165">
        <v>10003.52</v>
      </c>
      <c r="L233" s="165"/>
      <c r="M233" s="165">
        <v>0</v>
      </c>
      <c r="N233" s="165">
        <v>7477.87</v>
      </c>
      <c r="O233" s="162">
        <v>0</v>
      </c>
      <c r="P233" s="162">
        <v>14900</v>
      </c>
      <c r="Q233" s="165">
        <v>0</v>
      </c>
      <c r="R233" s="165"/>
      <c r="S233" s="165">
        <v>0</v>
      </c>
      <c r="T233" s="165"/>
      <c r="U233" s="165">
        <v>16610</v>
      </c>
      <c r="V233" s="181" t="e">
        <f>(U233-Q233)/Q233</f>
        <v>#DIV/0!</v>
      </c>
      <c r="W233" s="180">
        <f t="shared" si="35"/>
        <v>0</v>
      </c>
    </row>
    <row r="234" spans="1:60">
      <c r="A234" s="161" t="s">
        <v>511</v>
      </c>
      <c r="B234" s="160" t="s">
        <v>370</v>
      </c>
      <c r="C234" s="160"/>
      <c r="D234" s="165"/>
      <c r="E234" s="165">
        <v>0</v>
      </c>
      <c r="F234" s="165"/>
      <c r="G234" s="165">
        <v>144</v>
      </c>
      <c r="H234" s="165"/>
      <c r="I234" s="165">
        <v>252</v>
      </c>
      <c r="J234" s="165"/>
      <c r="K234" s="165">
        <v>147</v>
      </c>
      <c r="L234" s="165"/>
      <c r="M234" s="165">
        <v>0</v>
      </c>
      <c r="N234" s="165">
        <v>1880</v>
      </c>
      <c r="O234" s="162">
        <v>0</v>
      </c>
      <c r="P234" s="162">
        <v>0</v>
      </c>
      <c r="Q234" s="165">
        <v>350</v>
      </c>
      <c r="R234" s="165"/>
      <c r="S234" s="165">
        <v>0</v>
      </c>
      <c r="T234" s="165"/>
      <c r="U234" s="165">
        <v>500</v>
      </c>
      <c r="V234" s="181">
        <f>(U234-Q234)/Q234</f>
        <v>0.42857142857142855</v>
      </c>
      <c r="W234" s="180">
        <f t="shared" si="35"/>
        <v>-350</v>
      </c>
    </row>
    <row r="235" spans="1:60">
      <c r="A235" s="161" t="s">
        <v>512</v>
      </c>
      <c r="B235" s="160" t="s">
        <v>386</v>
      </c>
      <c r="C235" s="160"/>
      <c r="D235" s="165"/>
      <c r="E235" s="165">
        <v>751</v>
      </c>
      <c r="F235" s="165"/>
      <c r="G235" s="165">
        <v>994.48</v>
      </c>
      <c r="H235" s="165"/>
      <c r="I235" s="165">
        <v>1070.5899999999999</v>
      </c>
      <c r="J235" s="165"/>
      <c r="K235" s="165">
        <v>996.48</v>
      </c>
      <c r="L235" s="165"/>
      <c r="M235" s="165">
        <v>1054.43</v>
      </c>
      <c r="N235" s="165">
        <v>1025.06</v>
      </c>
      <c r="O235" s="162">
        <v>0</v>
      </c>
      <c r="P235" s="162">
        <v>1345.76</v>
      </c>
      <c r="Q235" s="165">
        <v>1400</v>
      </c>
      <c r="R235" s="165"/>
      <c r="S235" s="165">
        <v>1429.98</v>
      </c>
      <c r="T235" s="165"/>
      <c r="U235" s="165">
        <v>1500</v>
      </c>
      <c r="V235" s="181">
        <f>(U235-Q235)/Q235</f>
        <v>7.1428571428571425E-2</v>
      </c>
      <c r="W235" s="180">
        <f t="shared" ref="W235:W287" si="40">S235-Q235</f>
        <v>29.980000000000018</v>
      </c>
    </row>
    <row r="236" spans="1:60" ht="15.75">
      <c r="B236" s="172" t="s">
        <v>470</v>
      </c>
      <c r="C236" s="177"/>
      <c r="D236" s="332"/>
      <c r="E236" s="287">
        <f>SUM(E233:E235)</f>
        <v>751</v>
      </c>
      <c r="F236" s="332"/>
      <c r="G236" s="287">
        <f>SUM(G233:G235)</f>
        <v>8963.14</v>
      </c>
      <c r="H236" s="332"/>
      <c r="I236" s="287">
        <f>SUM(I233:I235)</f>
        <v>8138.4800000000005</v>
      </c>
      <c r="J236" s="332"/>
      <c r="K236" s="287">
        <f>SUM(K233:K235)</f>
        <v>11147</v>
      </c>
      <c r="L236" s="332"/>
      <c r="M236" s="287">
        <f t="shared" ref="M236:S236" si="41">SUM(M233:M235)</f>
        <v>1054.43</v>
      </c>
      <c r="N236" s="287">
        <f t="shared" si="41"/>
        <v>10382.929999999998</v>
      </c>
      <c r="O236" s="285">
        <f t="shared" si="41"/>
        <v>0</v>
      </c>
      <c r="P236" s="333">
        <f>SUM(P233:P235)</f>
        <v>16245.76</v>
      </c>
      <c r="Q236" s="333">
        <f>SUM(Q233:Q235)</f>
        <v>1750</v>
      </c>
      <c r="R236" s="242">
        <f t="shared" si="41"/>
        <v>0</v>
      </c>
      <c r="S236" s="242">
        <f t="shared" si="41"/>
        <v>1429.98</v>
      </c>
      <c r="T236" s="399"/>
      <c r="U236" s="242">
        <f>SUM(U233:U235)</f>
        <v>18610</v>
      </c>
      <c r="V236" s="384">
        <f>(U236-Q236)/Q236</f>
        <v>9.6342857142857135</v>
      </c>
      <c r="W236" s="192">
        <f t="shared" si="40"/>
        <v>-320.02</v>
      </c>
      <c r="Y236" s="188"/>
      <c r="Z236" s="188"/>
      <c r="AA236" s="188"/>
      <c r="AB236" s="188"/>
      <c r="AC236" s="188"/>
      <c r="AD236" s="188"/>
      <c r="AE236" s="188"/>
      <c r="AF236" s="188"/>
      <c r="AG236" s="188"/>
      <c r="AH236" s="188"/>
      <c r="AI236" s="188"/>
      <c r="AJ236" s="188"/>
      <c r="AK236" s="188"/>
      <c r="AL236" s="188"/>
      <c r="AM236" s="188"/>
      <c r="AN236" s="188"/>
      <c r="AO236" s="188"/>
      <c r="AP236" s="188"/>
      <c r="AQ236" s="188"/>
      <c r="AR236" s="188"/>
      <c r="AS236" s="188"/>
      <c r="AT236" s="188"/>
      <c r="AU236" s="188"/>
      <c r="AV236" s="188"/>
      <c r="AW236" s="188"/>
      <c r="AX236" s="188"/>
      <c r="AY236" s="188"/>
      <c r="AZ236" s="188"/>
      <c r="BA236" s="188"/>
      <c r="BB236" s="188"/>
      <c r="BC236" s="188"/>
      <c r="BD236" s="188"/>
      <c r="BE236" s="188"/>
      <c r="BF236" s="188"/>
      <c r="BG236" s="188"/>
      <c r="BH236" s="188"/>
    </row>
    <row r="237" spans="1:60" ht="15.75">
      <c r="B237" s="172"/>
      <c r="C237" s="177"/>
      <c r="D237" s="165"/>
      <c r="E237" s="193"/>
      <c r="F237" s="165"/>
      <c r="G237" s="193"/>
      <c r="H237" s="165"/>
      <c r="I237" s="193"/>
      <c r="J237" s="165"/>
      <c r="K237" s="193"/>
      <c r="L237" s="165"/>
      <c r="M237" s="193"/>
      <c r="N237" s="193"/>
      <c r="O237" s="292"/>
      <c r="P237" s="292"/>
      <c r="Q237" s="292"/>
      <c r="R237" s="193"/>
      <c r="S237" s="193"/>
      <c r="T237" s="165"/>
      <c r="U237" s="193"/>
      <c r="V237" s="394"/>
      <c r="W237" s="392"/>
      <c r="Y237" s="188"/>
      <c r="Z237" s="188"/>
      <c r="AA237" s="188"/>
      <c r="AB237" s="188"/>
      <c r="AC237" s="188"/>
      <c r="AD237" s="188"/>
      <c r="AE237" s="188"/>
      <c r="AF237" s="188"/>
      <c r="AG237" s="188"/>
      <c r="AH237" s="188"/>
      <c r="AI237" s="188"/>
      <c r="AJ237" s="188"/>
      <c r="AK237" s="188"/>
      <c r="AL237" s="188"/>
      <c r="AM237" s="188"/>
      <c r="AN237" s="188"/>
      <c r="AO237" s="188"/>
      <c r="AP237" s="188"/>
      <c r="AQ237" s="188"/>
      <c r="AR237" s="188"/>
      <c r="AS237" s="188"/>
      <c r="AT237" s="188"/>
      <c r="AU237" s="188"/>
      <c r="AV237" s="188"/>
      <c r="AW237" s="188"/>
      <c r="AX237" s="188"/>
      <c r="AY237" s="188"/>
      <c r="AZ237" s="188"/>
      <c r="BA237" s="188"/>
      <c r="BB237" s="188"/>
      <c r="BC237" s="188"/>
      <c r="BD237" s="188"/>
      <c r="BE237" s="188"/>
      <c r="BF237" s="188"/>
      <c r="BG237" s="188"/>
      <c r="BH237" s="188"/>
    </row>
    <row r="238" spans="1:60" ht="15.75">
      <c r="A238" s="423" t="s">
        <v>1373</v>
      </c>
      <c r="B238" s="423"/>
      <c r="C238" s="423"/>
      <c r="E238" s="331"/>
      <c r="G238" s="260"/>
      <c r="H238" s="165"/>
      <c r="I238" s="260"/>
      <c r="J238" s="165"/>
      <c r="K238" s="260"/>
      <c r="L238" s="165"/>
      <c r="M238" s="260"/>
      <c r="N238" s="260"/>
      <c r="O238" s="331"/>
      <c r="P238" s="331"/>
      <c r="R238" s="253"/>
      <c r="T238" s="165"/>
      <c r="W238" s="180"/>
    </row>
    <row r="239" spans="1:60">
      <c r="A239" s="161" t="s">
        <v>513</v>
      </c>
      <c r="B239" s="160" t="s">
        <v>183</v>
      </c>
      <c r="C239" s="160"/>
      <c r="D239" s="165"/>
      <c r="E239" s="165">
        <v>573936</v>
      </c>
      <c r="F239" s="165"/>
      <c r="G239" s="165">
        <v>561449.03</v>
      </c>
      <c r="H239" s="165"/>
      <c r="I239" s="165">
        <v>598807.72</v>
      </c>
      <c r="J239" s="165"/>
      <c r="K239" s="165">
        <v>639367.26</v>
      </c>
      <c r="L239" s="165"/>
      <c r="M239" s="165">
        <v>642622.26</v>
      </c>
      <c r="N239" s="165">
        <v>697189.58</v>
      </c>
      <c r="O239" s="162">
        <v>719173.83</v>
      </c>
      <c r="P239" s="162">
        <v>1037972.28</v>
      </c>
      <c r="Q239" s="178">
        <v>1153485</v>
      </c>
      <c r="R239" s="165"/>
      <c r="S239" s="178">
        <v>1100000</v>
      </c>
      <c r="T239" s="165"/>
      <c r="U239" s="178">
        <v>1276834</v>
      </c>
      <c r="V239" s="181">
        <f t="shared" ref="V239:V286" si="42">(U239-Q239)/Q239</f>
        <v>0.10693593761514021</v>
      </c>
      <c r="W239" s="180">
        <f t="shared" si="40"/>
        <v>-53485</v>
      </c>
    </row>
    <row r="240" spans="1:60" s="188" customFormat="1" ht="15.75" hidden="1">
      <c r="A240" s="160" t="s">
        <v>1134</v>
      </c>
      <c r="B240" s="160" t="s">
        <v>1135</v>
      </c>
      <c r="D240" s="165"/>
      <c r="E240" s="165">
        <v>31257</v>
      </c>
      <c r="F240" s="165"/>
      <c r="G240" s="165">
        <v>21570.81</v>
      </c>
      <c r="H240" s="165"/>
      <c r="I240" s="165">
        <v>40039.550000000003</v>
      </c>
      <c r="J240" s="165"/>
      <c r="K240" s="165">
        <v>33081.24</v>
      </c>
      <c r="L240" s="165"/>
      <c r="M240" s="165">
        <v>27625.8</v>
      </c>
      <c r="N240" s="165">
        <v>27727.119999999999</v>
      </c>
      <c r="O240" s="162">
        <v>1000</v>
      </c>
      <c r="P240" s="162"/>
      <c r="Q240" s="165"/>
      <c r="R240" s="165"/>
      <c r="S240" s="165"/>
      <c r="T240" s="165"/>
      <c r="U240" s="165"/>
      <c r="V240" s="181">
        <v>0</v>
      </c>
      <c r="W240" s="180">
        <f>S240-Q240</f>
        <v>0</v>
      </c>
      <c r="X240" s="160"/>
      <c r="Y240" s="160"/>
      <c r="Z240" s="160"/>
      <c r="AA240" s="160"/>
      <c r="AB240" s="160"/>
      <c r="AC240" s="160"/>
      <c r="AD240" s="160"/>
      <c r="AE240" s="160"/>
      <c r="AF240" s="160"/>
      <c r="AG240" s="160"/>
      <c r="AH240" s="160"/>
      <c r="AI240" s="160"/>
      <c r="AJ240" s="160"/>
      <c r="AK240" s="160"/>
      <c r="AL240" s="160"/>
      <c r="AM240" s="160"/>
      <c r="AN240" s="160"/>
      <c r="AO240" s="160"/>
      <c r="AP240" s="160"/>
      <c r="AQ240" s="160"/>
      <c r="AR240" s="160"/>
      <c r="AS240" s="160"/>
      <c r="AT240" s="160"/>
      <c r="AU240" s="160"/>
      <c r="AV240" s="160"/>
      <c r="AW240" s="160"/>
      <c r="AX240" s="160"/>
      <c r="AY240" s="160"/>
      <c r="AZ240" s="160"/>
      <c r="BA240" s="160"/>
      <c r="BB240" s="160"/>
      <c r="BC240" s="160"/>
      <c r="BD240" s="160"/>
      <c r="BE240" s="160"/>
      <c r="BF240" s="160"/>
      <c r="BG240" s="160"/>
      <c r="BH240" s="160"/>
    </row>
    <row r="241" spans="1:60" s="188" customFormat="1" ht="15.75">
      <c r="A241" s="160" t="s">
        <v>514</v>
      </c>
      <c r="B241" s="160" t="s">
        <v>108</v>
      </c>
      <c r="D241" s="165"/>
      <c r="E241" s="165">
        <v>31257</v>
      </c>
      <c r="F241" s="165"/>
      <c r="G241" s="165">
        <v>21570.81</v>
      </c>
      <c r="H241" s="165"/>
      <c r="I241" s="165">
        <v>40039.550000000003</v>
      </c>
      <c r="J241" s="165"/>
      <c r="K241" s="165">
        <v>33081.24</v>
      </c>
      <c r="L241" s="165"/>
      <c r="M241" s="165">
        <v>27625.8</v>
      </c>
      <c r="N241" s="165">
        <v>27727.119999999999</v>
      </c>
      <c r="O241" s="162">
        <v>32363.22</v>
      </c>
      <c r="P241" s="162">
        <v>47692.98</v>
      </c>
      <c r="Q241" s="165">
        <v>55000</v>
      </c>
      <c r="R241" s="165"/>
      <c r="S241" s="165">
        <v>45000</v>
      </c>
      <c r="T241" s="165"/>
      <c r="U241" s="165">
        <v>55000</v>
      </c>
      <c r="V241" s="181">
        <f t="shared" si="42"/>
        <v>0</v>
      </c>
      <c r="W241" s="180">
        <f t="shared" si="40"/>
        <v>-10000</v>
      </c>
      <c r="X241" s="160"/>
      <c r="Y241" s="160"/>
      <c r="Z241" s="160"/>
      <c r="AA241" s="160"/>
      <c r="AB241" s="160"/>
      <c r="AC241" s="160"/>
      <c r="AD241" s="160"/>
      <c r="AE241" s="160"/>
      <c r="AF241" s="160"/>
      <c r="AG241" s="160"/>
      <c r="AH241" s="160"/>
      <c r="AI241" s="160"/>
      <c r="AJ241" s="160"/>
      <c r="AK241" s="160"/>
      <c r="AL241" s="160"/>
      <c r="AM241" s="160"/>
      <c r="AN241" s="160"/>
      <c r="AO241" s="160"/>
      <c r="AP241" s="160"/>
      <c r="AQ241" s="160"/>
      <c r="AR241" s="160"/>
      <c r="AS241" s="160"/>
      <c r="AT241" s="160"/>
      <c r="AU241" s="160"/>
      <c r="AV241" s="160"/>
      <c r="AW241" s="160"/>
      <c r="AX241" s="160"/>
      <c r="AY241" s="160"/>
      <c r="AZ241" s="160"/>
      <c r="BA241" s="160"/>
      <c r="BB241" s="160"/>
      <c r="BC241" s="160"/>
      <c r="BD241" s="160"/>
      <c r="BE241" s="160"/>
      <c r="BF241" s="160"/>
      <c r="BG241" s="160"/>
      <c r="BH241" s="160"/>
    </row>
    <row r="242" spans="1:60" s="188" customFormat="1" ht="15.75">
      <c r="A242" s="160" t="s">
        <v>941</v>
      </c>
      <c r="B242" s="160" t="s">
        <v>942</v>
      </c>
      <c r="D242" s="165"/>
      <c r="E242" s="165">
        <v>31257</v>
      </c>
      <c r="F242" s="165"/>
      <c r="G242" s="165">
        <v>21570.81</v>
      </c>
      <c r="H242" s="165"/>
      <c r="I242" s="165">
        <v>40039.550000000003</v>
      </c>
      <c r="J242" s="165"/>
      <c r="K242" s="165">
        <v>340.38</v>
      </c>
      <c r="L242" s="165"/>
      <c r="M242" s="165">
        <v>2545.14</v>
      </c>
      <c r="N242" s="165">
        <v>3277.1</v>
      </c>
      <c r="O242" s="162">
        <v>3436.25</v>
      </c>
      <c r="P242" s="162">
        <v>2526.41</v>
      </c>
      <c r="Q242" s="165">
        <v>3000</v>
      </c>
      <c r="R242" s="165"/>
      <c r="S242" s="165">
        <v>5000</v>
      </c>
      <c r="T242" s="165"/>
      <c r="U242" s="165">
        <v>5000</v>
      </c>
      <c r="V242" s="181">
        <f t="shared" si="42"/>
        <v>0.66666666666666663</v>
      </c>
      <c r="W242" s="180">
        <f>S242-Q242</f>
        <v>2000</v>
      </c>
      <c r="X242" s="160"/>
      <c r="Y242" s="160"/>
      <c r="Z242" s="160"/>
      <c r="AA242" s="160"/>
      <c r="AB242" s="160"/>
      <c r="AC242" s="160"/>
      <c r="AD242" s="160"/>
      <c r="AE242" s="160"/>
      <c r="AF242" s="160"/>
      <c r="AG242" s="160"/>
      <c r="AH242" s="160"/>
      <c r="AI242" s="160"/>
      <c r="AJ242" s="160"/>
      <c r="AK242" s="160"/>
      <c r="AL242" s="160"/>
      <c r="AM242" s="160"/>
      <c r="AN242" s="160"/>
      <c r="AO242" s="160"/>
      <c r="AP242" s="160"/>
      <c r="AQ242" s="160"/>
      <c r="AR242" s="160"/>
      <c r="AS242" s="160"/>
      <c r="AT242" s="160"/>
      <c r="AU242" s="160"/>
      <c r="AV242" s="160"/>
      <c r="AW242" s="160"/>
      <c r="AX242" s="160"/>
      <c r="AY242" s="160"/>
      <c r="AZ242" s="160"/>
      <c r="BA242" s="160"/>
      <c r="BB242" s="160"/>
      <c r="BC242" s="160"/>
      <c r="BD242" s="160"/>
      <c r="BE242" s="160"/>
      <c r="BF242" s="160"/>
      <c r="BG242" s="160"/>
      <c r="BH242" s="160"/>
    </row>
    <row r="243" spans="1:60" s="188" customFormat="1" ht="15.75">
      <c r="A243" s="160" t="s">
        <v>986</v>
      </c>
      <c r="B243" s="160" t="s">
        <v>968</v>
      </c>
      <c r="D243" s="165"/>
      <c r="E243" s="165">
        <v>31257</v>
      </c>
      <c r="F243" s="165"/>
      <c r="G243" s="165">
        <v>21570.81</v>
      </c>
      <c r="H243" s="165"/>
      <c r="I243" s="165">
        <v>40039.550000000003</v>
      </c>
      <c r="J243" s="165"/>
      <c r="K243" s="165">
        <v>340.38</v>
      </c>
      <c r="L243" s="165"/>
      <c r="M243" s="165">
        <v>0</v>
      </c>
      <c r="N243" s="165">
        <v>27817.3</v>
      </c>
      <c r="O243" s="162">
        <v>9267.7999999999993</v>
      </c>
      <c r="P243" s="162">
        <v>23520.71</v>
      </c>
      <c r="Q243" s="165">
        <v>56692.25</v>
      </c>
      <c r="R243" s="165"/>
      <c r="S243" s="165">
        <v>46000</v>
      </c>
      <c r="T243" s="165"/>
      <c r="U243" s="165">
        <v>71000</v>
      </c>
      <c r="V243" s="181">
        <f t="shared" si="42"/>
        <v>0.25237576564697994</v>
      </c>
      <c r="W243" s="180">
        <f>S243-Q243</f>
        <v>-10692.25</v>
      </c>
      <c r="X243" s="160"/>
      <c r="Y243" s="160"/>
      <c r="Z243" s="160"/>
      <c r="AA243" s="160"/>
      <c r="AB243" s="160"/>
      <c r="AC243" s="160"/>
      <c r="AD243" s="160"/>
      <c r="AE243" s="160"/>
      <c r="AF243" s="160"/>
      <c r="AG243" s="160"/>
      <c r="AH243" s="160"/>
      <c r="AI243" s="160"/>
      <c r="AJ243" s="160"/>
      <c r="AK243" s="160"/>
      <c r="AL243" s="160"/>
      <c r="AM243" s="160"/>
      <c r="AN243" s="160"/>
      <c r="AO243" s="160"/>
      <c r="AP243" s="160"/>
      <c r="AQ243" s="160"/>
      <c r="AR243" s="160"/>
      <c r="AS243" s="160"/>
      <c r="AT243" s="160"/>
      <c r="AU243" s="160"/>
      <c r="AV243" s="160"/>
      <c r="AW243" s="160"/>
      <c r="AX243" s="160"/>
      <c r="AY243" s="160"/>
      <c r="AZ243" s="160"/>
      <c r="BA243" s="160"/>
      <c r="BB243" s="160"/>
      <c r="BC243" s="160"/>
      <c r="BD243" s="160"/>
      <c r="BE243" s="160"/>
      <c r="BF243" s="160"/>
      <c r="BG243" s="160"/>
      <c r="BH243" s="160"/>
    </row>
    <row r="244" spans="1:60">
      <c r="A244" s="161" t="s">
        <v>1004</v>
      </c>
      <c r="B244" s="160" t="s">
        <v>1416</v>
      </c>
      <c r="C244" s="160"/>
      <c r="D244" s="165"/>
      <c r="E244" s="165">
        <v>37033</v>
      </c>
      <c r="F244" s="165"/>
      <c r="G244" s="165">
        <v>37036.01</v>
      </c>
      <c r="H244" s="165"/>
      <c r="I244" s="165">
        <v>40290.43</v>
      </c>
      <c r="J244" s="165"/>
      <c r="K244" s="165">
        <v>41097.14</v>
      </c>
      <c r="L244" s="165"/>
      <c r="M244" s="165">
        <v>41047.339999999997</v>
      </c>
      <c r="N244" s="165">
        <v>1160.42</v>
      </c>
      <c r="O244" s="162">
        <v>1939.91</v>
      </c>
      <c r="P244" s="162">
        <v>9854.75</v>
      </c>
      <c r="Q244" s="165">
        <v>11000</v>
      </c>
      <c r="R244" s="165"/>
      <c r="S244" s="165">
        <v>6000</v>
      </c>
      <c r="T244" s="165"/>
      <c r="U244" s="165">
        <v>6000</v>
      </c>
      <c r="V244" s="181">
        <f t="shared" si="42"/>
        <v>-0.45454545454545453</v>
      </c>
      <c r="W244" s="180">
        <f>S244-Q244</f>
        <v>-5000</v>
      </c>
    </row>
    <row r="245" spans="1:60">
      <c r="A245" s="161" t="s">
        <v>1136</v>
      </c>
      <c r="B245" s="160" t="s">
        <v>1137</v>
      </c>
      <c r="C245" s="160"/>
      <c r="D245" s="165"/>
      <c r="E245" s="165">
        <v>37033</v>
      </c>
      <c r="F245" s="165"/>
      <c r="G245" s="165">
        <v>37036.01</v>
      </c>
      <c r="H245" s="165"/>
      <c r="I245" s="165">
        <v>40290.43</v>
      </c>
      <c r="J245" s="165"/>
      <c r="K245" s="165">
        <v>41097.14</v>
      </c>
      <c r="L245" s="165"/>
      <c r="M245" s="165">
        <v>41047.339999999997</v>
      </c>
      <c r="N245" s="165">
        <v>1160.42</v>
      </c>
      <c r="O245" s="162">
        <v>12156.04</v>
      </c>
      <c r="P245" s="162">
        <v>25670.17</v>
      </c>
      <c r="Q245" s="165">
        <v>30000</v>
      </c>
      <c r="R245" s="165"/>
      <c r="S245" s="165">
        <v>30000</v>
      </c>
      <c r="T245" s="165"/>
      <c r="U245" s="165">
        <v>40000</v>
      </c>
      <c r="V245" s="181">
        <f t="shared" si="42"/>
        <v>0.33333333333333331</v>
      </c>
      <c r="W245" s="180">
        <f>S245-Q245</f>
        <v>0</v>
      </c>
    </row>
    <row r="246" spans="1:60">
      <c r="A246" s="161" t="s">
        <v>184</v>
      </c>
      <c r="B246" s="160" t="s">
        <v>105</v>
      </c>
      <c r="C246" s="160"/>
      <c r="D246" s="165"/>
      <c r="E246" s="165">
        <v>37033</v>
      </c>
      <c r="F246" s="165"/>
      <c r="G246" s="165">
        <v>37036.01</v>
      </c>
      <c r="H246" s="165"/>
      <c r="I246" s="165">
        <v>40290.43</v>
      </c>
      <c r="J246" s="165"/>
      <c r="K246" s="165">
        <v>41097.14</v>
      </c>
      <c r="L246" s="165"/>
      <c r="M246" s="165">
        <v>41047.339999999997</v>
      </c>
      <c r="N246" s="165">
        <v>46614.81</v>
      </c>
      <c r="O246" s="162">
        <v>47780.62</v>
      </c>
      <c r="P246" s="162">
        <v>70043.600000000006</v>
      </c>
      <c r="Q246" s="165">
        <v>81126.94</v>
      </c>
      <c r="R246" s="165"/>
      <c r="S246" s="165">
        <v>76000</v>
      </c>
      <c r="T246" s="165"/>
      <c r="U246" s="165">
        <v>90138</v>
      </c>
      <c r="V246" s="181">
        <f t="shared" si="42"/>
        <v>0.1110735841879405</v>
      </c>
      <c r="W246" s="180">
        <f t="shared" si="40"/>
        <v>-5126.9400000000023</v>
      </c>
    </row>
    <row r="247" spans="1:60">
      <c r="A247" s="161" t="s">
        <v>185</v>
      </c>
      <c r="B247" s="160" t="s">
        <v>67</v>
      </c>
      <c r="C247" s="160"/>
      <c r="D247" s="165"/>
      <c r="E247" s="165">
        <v>8661</v>
      </c>
      <c r="F247" s="165"/>
      <c r="G247" s="165">
        <v>8661.66</v>
      </c>
      <c r="H247" s="165"/>
      <c r="I247" s="165">
        <v>9422.77</v>
      </c>
      <c r="J247" s="165"/>
      <c r="K247" s="165">
        <v>9611.42</v>
      </c>
      <c r="L247" s="165"/>
      <c r="M247" s="165">
        <v>9599.7900000000009</v>
      </c>
      <c r="N247" s="165">
        <v>10901.87</v>
      </c>
      <c r="O247" s="162">
        <v>11174.5</v>
      </c>
      <c r="P247" s="162">
        <v>16381.2</v>
      </c>
      <c r="Q247" s="165">
        <v>18971.22</v>
      </c>
      <c r="R247" s="165"/>
      <c r="S247" s="165">
        <v>18000</v>
      </c>
      <c r="T247" s="165"/>
      <c r="U247" s="165">
        <v>21082</v>
      </c>
      <c r="V247" s="181">
        <f t="shared" si="42"/>
        <v>0.11126221719003832</v>
      </c>
      <c r="W247" s="180">
        <f t="shared" si="40"/>
        <v>-971.22000000000116</v>
      </c>
    </row>
    <row r="248" spans="1:60">
      <c r="A248" s="161" t="s">
        <v>186</v>
      </c>
      <c r="B248" s="160" t="s">
        <v>68</v>
      </c>
      <c r="C248" s="160"/>
      <c r="D248" s="165"/>
      <c r="E248" s="165">
        <v>90575</v>
      </c>
      <c r="F248" s="165"/>
      <c r="G248" s="165">
        <v>99929.73</v>
      </c>
      <c r="H248" s="165"/>
      <c r="I248" s="165">
        <v>110074.08</v>
      </c>
      <c r="J248" s="165"/>
      <c r="K248" s="165">
        <v>120514.01</v>
      </c>
      <c r="L248" s="165"/>
      <c r="M248" s="165">
        <v>142119.72</v>
      </c>
      <c r="N248" s="165">
        <v>158668.88</v>
      </c>
      <c r="O248" s="162">
        <v>97260.22</v>
      </c>
      <c r="P248" s="162">
        <v>126035.25</v>
      </c>
      <c r="Q248" s="165">
        <v>140368</v>
      </c>
      <c r="R248" s="165"/>
      <c r="S248" s="165">
        <v>132000</v>
      </c>
      <c r="T248" s="165"/>
      <c r="U248" s="165">
        <v>151599</v>
      </c>
      <c r="V248" s="181">
        <f t="shared" si="42"/>
        <v>8.001111364413542E-2</v>
      </c>
      <c r="W248" s="180">
        <f t="shared" si="40"/>
        <v>-8368</v>
      </c>
    </row>
    <row r="249" spans="1:60">
      <c r="A249" s="161" t="s">
        <v>187</v>
      </c>
      <c r="B249" s="160" t="s">
        <v>69</v>
      </c>
      <c r="C249" s="160"/>
      <c r="D249" s="165"/>
      <c r="E249" s="165">
        <v>5366</v>
      </c>
      <c r="F249" s="165"/>
      <c r="G249" s="165">
        <v>4622.87</v>
      </c>
      <c r="H249" s="165"/>
      <c r="I249" s="165">
        <v>3303.22</v>
      </c>
      <c r="J249" s="165"/>
      <c r="K249" s="165">
        <v>1794.93</v>
      </c>
      <c r="L249" s="165"/>
      <c r="M249" s="165">
        <v>6031.46</v>
      </c>
      <c r="N249" s="165">
        <v>40.76</v>
      </c>
      <c r="O249" s="162">
        <v>3795.1</v>
      </c>
      <c r="P249" s="162">
        <v>6480.1</v>
      </c>
      <c r="Q249" s="165">
        <v>7154.43</v>
      </c>
      <c r="R249" s="165"/>
      <c r="S249" s="165">
        <v>300</v>
      </c>
      <c r="T249" s="165"/>
      <c r="U249" s="165">
        <v>2295</v>
      </c>
      <c r="V249" s="181">
        <f t="shared" si="42"/>
        <v>-0.67921972819637622</v>
      </c>
      <c r="W249" s="180">
        <f t="shared" si="40"/>
        <v>-6854.43</v>
      </c>
    </row>
    <row r="250" spans="1:60">
      <c r="A250" s="161" t="s">
        <v>188</v>
      </c>
      <c r="B250" s="160" t="s">
        <v>70</v>
      </c>
      <c r="C250" s="160"/>
      <c r="D250" s="165"/>
      <c r="E250" s="165">
        <v>14308</v>
      </c>
      <c r="F250" s="165"/>
      <c r="G250" s="165">
        <v>27815.919999999998</v>
      </c>
      <c r="H250" s="165"/>
      <c r="I250" s="165">
        <v>21408.79</v>
      </c>
      <c r="J250" s="165"/>
      <c r="K250" s="165">
        <v>22361.09</v>
      </c>
      <c r="L250" s="165"/>
      <c r="M250" s="165">
        <v>8897.68</v>
      </c>
      <c r="N250" s="165">
        <v>9151.9599999999991</v>
      </c>
      <c r="O250" s="162">
        <v>9530.85</v>
      </c>
      <c r="P250" s="162">
        <v>84974.09</v>
      </c>
      <c r="Q250" s="165">
        <v>96695.52</v>
      </c>
      <c r="R250" s="165"/>
      <c r="S250" s="165">
        <v>90000</v>
      </c>
      <c r="T250" s="165"/>
      <c r="U250" s="165">
        <v>101917</v>
      </c>
      <c r="V250" s="181">
        <f t="shared" si="42"/>
        <v>5.3999192516881817E-2</v>
      </c>
      <c r="W250" s="180">
        <f t="shared" si="40"/>
        <v>-6695.5200000000041</v>
      </c>
    </row>
    <row r="251" spans="1:60">
      <c r="A251" s="161" t="s">
        <v>189</v>
      </c>
      <c r="B251" s="160" t="s">
        <v>106</v>
      </c>
      <c r="C251" s="160"/>
      <c r="D251" s="253"/>
      <c r="E251" s="165">
        <v>24452</v>
      </c>
      <c r="F251" s="253"/>
      <c r="G251" s="165">
        <v>17755.27</v>
      </c>
      <c r="H251" s="253"/>
      <c r="I251" s="165">
        <v>25663.72</v>
      </c>
      <c r="J251" s="253"/>
      <c r="K251" s="165">
        <v>6557.28</v>
      </c>
      <c r="L251" s="253"/>
      <c r="M251" s="165">
        <v>11333.31</v>
      </c>
      <c r="N251" s="165">
        <v>14863.86</v>
      </c>
      <c r="O251" s="162">
        <v>14547.9</v>
      </c>
      <c r="P251" s="162">
        <v>23659.31</v>
      </c>
      <c r="Q251" s="165">
        <v>31947.32</v>
      </c>
      <c r="R251" s="165"/>
      <c r="S251" s="165">
        <v>30000</v>
      </c>
      <c r="T251" s="253"/>
      <c r="U251" s="165">
        <v>43996</v>
      </c>
      <c r="V251" s="181">
        <f t="shared" si="42"/>
        <v>0.37714212021540461</v>
      </c>
      <c r="W251" s="180">
        <f t="shared" si="40"/>
        <v>-1947.3199999999997</v>
      </c>
    </row>
    <row r="252" spans="1:60">
      <c r="A252" s="161" t="s">
        <v>250</v>
      </c>
      <c r="B252" s="160" t="s">
        <v>251</v>
      </c>
      <c r="C252" s="160"/>
      <c r="D252" s="253"/>
      <c r="E252" s="165">
        <v>995</v>
      </c>
      <c r="F252" s="253"/>
      <c r="G252" s="165">
        <v>1025.3499999999999</v>
      </c>
      <c r="H252" s="253"/>
      <c r="I252" s="165">
        <v>907.97</v>
      </c>
      <c r="J252" s="253"/>
      <c r="K252" s="165">
        <v>751.17</v>
      </c>
      <c r="L252" s="253"/>
      <c r="M252" s="165">
        <v>742.76</v>
      </c>
      <c r="N252" s="165">
        <v>1047.22</v>
      </c>
      <c r="O252" s="162">
        <v>1166.4000000000001</v>
      </c>
      <c r="P252" s="162">
        <v>1079.0999999999999</v>
      </c>
      <c r="Q252" s="165">
        <v>1123</v>
      </c>
      <c r="R252" s="165"/>
      <c r="S252" s="165">
        <v>1000</v>
      </c>
      <c r="T252" s="253"/>
      <c r="U252" s="165">
        <v>1040</v>
      </c>
      <c r="V252" s="181">
        <f t="shared" si="42"/>
        <v>-7.3909171861086378E-2</v>
      </c>
      <c r="W252" s="180">
        <f t="shared" si="40"/>
        <v>-123</v>
      </c>
    </row>
    <row r="253" spans="1:60" ht="15.75">
      <c r="A253" s="161" t="s">
        <v>1036</v>
      </c>
      <c r="B253" s="160" t="s">
        <v>1003</v>
      </c>
      <c r="C253" s="160"/>
      <c r="D253" s="165"/>
      <c r="E253" s="165">
        <v>10741</v>
      </c>
      <c r="F253" s="165"/>
      <c r="G253" s="165">
        <v>11659.77</v>
      </c>
      <c r="H253" s="165"/>
      <c r="I253" s="165">
        <v>10929.16</v>
      </c>
      <c r="J253" s="165"/>
      <c r="K253" s="165">
        <v>0</v>
      </c>
      <c r="L253" s="165"/>
      <c r="M253" s="165">
        <v>0</v>
      </c>
      <c r="N253" s="165">
        <v>0</v>
      </c>
      <c r="O253" s="162">
        <v>0</v>
      </c>
      <c r="P253" s="162">
        <v>1000</v>
      </c>
      <c r="Q253" s="165">
        <v>3300</v>
      </c>
      <c r="R253" s="165"/>
      <c r="S253" s="165">
        <v>3300</v>
      </c>
      <c r="T253" s="165"/>
      <c r="U253" s="165">
        <v>3300</v>
      </c>
      <c r="V253" s="181">
        <f t="shared" si="42"/>
        <v>0</v>
      </c>
      <c r="W253" s="180">
        <f>S253-Q253</f>
        <v>0</v>
      </c>
      <c r="X253" s="188"/>
    </row>
    <row r="254" spans="1:60" ht="15.75" hidden="1">
      <c r="A254" s="161" t="s">
        <v>1122</v>
      </c>
      <c r="B254" s="160" t="s">
        <v>1123</v>
      </c>
      <c r="C254" s="160"/>
      <c r="D254" s="165"/>
      <c r="E254" s="165">
        <v>10741</v>
      </c>
      <c r="F254" s="165"/>
      <c r="G254" s="165">
        <v>11659.77</v>
      </c>
      <c r="H254" s="165"/>
      <c r="I254" s="165">
        <v>10929.16</v>
      </c>
      <c r="J254" s="165"/>
      <c r="K254" s="165">
        <v>0</v>
      </c>
      <c r="L254" s="165"/>
      <c r="M254" s="165">
        <v>0</v>
      </c>
      <c r="N254" s="165">
        <v>1339</v>
      </c>
      <c r="O254" s="162">
        <v>250</v>
      </c>
      <c r="P254" s="162"/>
      <c r="R254" s="165"/>
      <c r="T254" s="165"/>
      <c r="V254" s="181">
        <v>0</v>
      </c>
      <c r="W254" s="180">
        <f>S254-Q254</f>
        <v>0</v>
      </c>
      <c r="X254" s="188"/>
    </row>
    <row r="255" spans="1:60" ht="15.75">
      <c r="A255" s="161" t="s">
        <v>943</v>
      </c>
      <c r="B255" s="160" t="s">
        <v>944</v>
      </c>
      <c r="C255" s="160"/>
      <c r="D255" s="165"/>
      <c r="E255" s="165">
        <v>10741</v>
      </c>
      <c r="F255" s="165"/>
      <c r="G255" s="165">
        <v>11659.77</v>
      </c>
      <c r="H255" s="165"/>
      <c r="I255" s="165">
        <v>10929.16</v>
      </c>
      <c r="J255" s="165"/>
      <c r="K255" s="165">
        <v>0</v>
      </c>
      <c r="L255" s="165"/>
      <c r="M255" s="165">
        <v>0</v>
      </c>
      <c r="N255" s="165">
        <v>1339</v>
      </c>
      <c r="O255" s="162">
        <v>120</v>
      </c>
      <c r="P255" s="162">
        <v>0</v>
      </c>
      <c r="Q255" s="165">
        <v>2000</v>
      </c>
      <c r="R255" s="165"/>
      <c r="S255" s="165">
        <v>1000</v>
      </c>
      <c r="T255" s="165"/>
      <c r="U255" s="165">
        <v>1000</v>
      </c>
      <c r="V255" s="181">
        <f t="shared" si="42"/>
        <v>-0.5</v>
      </c>
      <c r="W255" s="180">
        <f>S255-Q255</f>
        <v>-1000</v>
      </c>
      <c r="X255" s="188"/>
    </row>
    <row r="256" spans="1:60" ht="15.75">
      <c r="A256" s="161" t="s">
        <v>515</v>
      </c>
      <c r="B256" s="160" t="s">
        <v>410</v>
      </c>
      <c r="C256" s="160"/>
      <c r="D256" s="165"/>
      <c r="E256" s="165">
        <v>10741</v>
      </c>
      <c r="F256" s="165"/>
      <c r="G256" s="165">
        <v>11659.77</v>
      </c>
      <c r="H256" s="165"/>
      <c r="I256" s="165">
        <v>10929.16</v>
      </c>
      <c r="J256" s="165"/>
      <c r="K256" s="165">
        <v>10414.5</v>
      </c>
      <c r="L256" s="165"/>
      <c r="M256" s="165">
        <v>9450.75</v>
      </c>
      <c r="N256" s="165">
        <v>9899.9699999999993</v>
      </c>
      <c r="O256" s="162">
        <v>12322.92</v>
      </c>
      <c r="P256" s="162">
        <v>17118.72</v>
      </c>
      <c r="Q256" s="165">
        <v>16000</v>
      </c>
      <c r="R256" s="165"/>
      <c r="S256" s="165">
        <v>16000</v>
      </c>
      <c r="T256" s="165"/>
      <c r="U256" s="165">
        <v>16000</v>
      </c>
      <c r="V256" s="181">
        <f t="shared" si="42"/>
        <v>0</v>
      </c>
      <c r="W256" s="180">
        <f t="shared" si="40"/>
        <v>0</v>
      </c>
      <c r="X256" s="188"/>
    </row>
    <row r="257" spans="1:24">
      <c r="A257" s="160" t="s">
        <v>516</v>
      </c>
      <c r="B257" s="160" t="s">
        <v>1035</v>
      </c>
      <c r="C257" s="160"/>
      <c r="D257" s="165"/>
      <c r="E257" s="165">
        <v>12</v>
      </c>
      <c r="F257" s="165"/>
      <c r="G257" s="165">
        <v>351.24</v>
      </c>
      <c r="H257" s="165"/>
      <c r="I257" s="165">
        <v>20.98</v>
      </c>
      <c r="J257" s="165"/>
      <c r="K257" s="165">
        <v>45.48</v>
      </c>
      <c r="L257" s="165"/>
      <c r="M257" s="165">
        <v>222.8</v>
      </c>
      <c r="N257" s="165">
        <v>138.47</v>
      </c>
      <c r="O257" s="162">
        <v>0</v>
      </c>
      <c r="P257" s="162">
        <v>2873.56</v>
      </c>
      <c r="Q257" s="165">
        <v>3500</v>
      </c>
      <c r="R257" s="165"/>
      <c r="S257" s="165">
        <v>1500</v>
      </c>
      <c r="T257" s="165"/>
      <c r="U257" s="165">
        <v>2000</v>
      </c>
      <c r="V257" s="181">
        <f t="shared" si="42"/>
        <v>-0.42857142857142855</v>
      </c>
      <c r="W257" s="180">
        <f t="shared" si="40"/>
        <v>-2000</v>
      </c>
    </row>
    <row r="258" spans="1:24" ht="15.75">
      <c r="A258" s="161" t="s">
        <v>1120</v>
      </c>
      <c r="B258" s="160" t="s">
        <v>1121</v>
      </c>
      <c r="C258" s="160"/>
      <c r="D258" s="193"/>
      <c r="E258" s="165">
        <v>9533</v>
      </c>
      <c r="F258" s="193"/>
      <c r="G258" s="165">
        <v>2609.1999999999998</v>
      </c>
      <c r="H258" s="193"/>
      <c r="I258" s="165">
        <v>3966.49</v>
      </c>
      <c r="J258" s="193"/>
      <c r="K258" s="165">
        <v>8594.52</v>
      </c>
      <c r="L258" s="193"/>
      <c r="M258" s="165">
        <v>6232.39</v>
      </c>
      <c r="N258" s="165">
        <v>7626.61</v>
      </c>
      <c r="O258" s="162">
        <v>0</v>
      </c>
      <c r="P258" s="162">
        <v>2071.4699999999998</v>
      </c>
      <c r="Q258" s="165">
        <v>1500</v>
      </c>
      <c r="R258" s="165"/>
      <c r="S258" s="165">
        <v>2000</v>
      </c>
      <c r="T258" s="193"/>
      <c r="U258" s="165">
        <v>2000</v>
      </c>
      <c r="V258" s="181">
        <f t="shared" si="42"/>
        <v>0.33333333333333331</v>
      </c>
      <c r="W258" s="180">
        <f>S258-Q258</f>
        <v>500</v>
      </c>
    </row>
    <row r="259" spans="1:24" ht="15.75">
      <c r="A259" s="161" t="s">
        <v>517</v>
      </c>
      <c r="B259" s="160" t="s">
        <v>394</v>
      </c>
      <c r="C259" s="160"/>
      <c r="D259" s="193"/>
      <c r="E259" s="165">
        <v>9533</v>
      </c>
      <c r="F259" s="193"/>
      <c r="G259" s="165">
        <v>2609.1999999999998</v>
      </c>
      <c r="H259" s="193"/>
      <c r="I259" s="165">
        <v>3966.49</v>
      </c>
      <c r="J259" s="193"/>
      <c r="K259" s="165">
        <v>8594.52</v>
      </c>
      <c r="L259" s="193"/>
      <c r="M259" s="165">
        <v>6232.39</v>
      </c>
      <c r="N259" s="165">
        <v>7626.61</v>
      </c>
      <c r="O259" s="162">
        <v>8717.16</v>
      </c>
      <c r="P259" s="162">
        <v>13038.5</v>
      </c>
      <c r="Q259" s="165">
        <v>15000</v>
      </c>
      <c r="R259" s="165"/>
      <c r="S259" s="165">
        <v>15000</v>
      </c>
      <c r="T259" s="193"/>
      <c r="U259" s="165">
        <v>20000</v>
      </c>
      <c r="V259" s="181">
        <f t="shared" si="42"/>
        <v>0.33333333333333331</v>
      </c>
      <c r="W259" s="180">
        <f t="shared" si="40"/>
        <v>0</v>
      </c>
    </row>
    <row r="260" spans="1:24">
      <c r="A260" s="161" t="s">
        <v>518</v>
      </c>
      <c r="B260" s="160" t="s">
        <v>89</v>
      </c>
      <c r="C260" s="160"/>
      <c r="D260" s="165"/>
      <c r="E260" s="165">
        <v>4596</v>
      </c>
      <c r="F260" s="165"/>
      <c r="G260" s="165">
        <v>5154.97</v>
      </c>
      <c r="H260" s="165"/>
      <c r="I260" s="165">
        <v>4535.3599999999997</v>
      </c>
      <c r="J260" s="165"/>
      <c r="K260" s="165">
        <v>5651.94</v>
      </c>
      <c r="L260" s="165"/>
      <c r="M260" s="165">
        <v>4170.12</v>
      </c>
      <c r="N260" s="165">
        <v>2500</v>
      </c>
      <c r="O260" s="162">
        <v>2042.51</v>
      </c>
      <c r="P260" s="162">
        <v>1450.88</v>
      </c>
      <c r="Q260" s="165">
        <v>1500</v>
      </c>
      <c r="R260" s="165"/>
      <c r="S260" s="165">
        <v>1600</v>
      </c>
      <c r="T260" s="165"/>
      <c r="U260" s="165">
        <v>2000</v>
      </c>
      <c r="V260" s="181">
        <f t="shared" si="42"/>
        <v>0.33333333333333331</v>
      </c>
      <c r="W260" s="180">
        <f t="shared" si="40"/>
        <v>100</v>
      </c>
    </row>
    <row r="261" spans="1:24">
      <c r="A261" s="161" t="s">
        <v>205</v>
      </c>
      <c r="B261" s="160" t="s">
        <v>206</v>
      </c>
      <c r="C261" s="160"/>
      <c r="D261" s="165"/>
      <c r="E261" s="165">
        <v>13247</v>
      </c>
      <c r="F261" s="165"/>
      <c r="G261" s="165">
        <v>7990.42</v>
      </c>
      <c r="H261" s="165"/>
      <c r="I261" s="165">
        <v>15702.32</v>
      </c>
      <c r="J261" s="165"/>
      <c r="K261" s="165">
        <v>12725.84</v>
      </c>
      <c r="L261" s="165"/>
      <c r="M261" s="165">
        <v>79563.520000000004</v>
      </c>
      <c r="N261" s="165">
        <v>15706.22</v>
      </c>
      <c r="O261" s="162">
        <v>32236.03</v>
      </c>
      <c r="P261" s="162">
        <v>38166.28</v>
      </c>
      <c r="Q261" s="165">
        <v>26000</v>
      </c>
      <c r="R261" s="165"/>
      <c r="S261" s="165">
        <v>26000</v>
      </c>
      <c r="T261" s="165"/>
      <c r="U261" s="165">
        <v>26000</v>
      </c>
      <c r="V261" s="181">
        <f t="shared" si="42"/>
        <v>0</v>
      </c>
      <c r="W261" s="180">
        <f t="shared" si="40"/>
        <v>0</v>
      </c>
    </row>
    <row r="262" spans="1:24">
      <c r="A262" s="161" t="s">
        <v>1147</v>
      </c>
      <c r="B262" s="160" t="s">
        <v>1148</v>
      </c>
      <c r="C262" s="160"/>
      <c r="D262" s="165"/>
      <c r="E262" s="165">
        <v>13247</v>
      </c>
      <c r="F262" s="165"/>
      <c r="G262" s="165">
        <v>7990.42</v>
      </c>
      <c r="H262" s="165"/>
      <c r="I262" s="165">
        <v>15702.32</v>
      </c>
      <c r="J262" s="165"/>
      <c r="K262" s="165">
        <v>12725.84</v>
      </c>
      <c r="L262" s="165"/>
      <c r="M262" s="165">
        <v>79563.520000000004</v>
      </c>
      <c r="N262" s="165">
        <v>15706.22</v>
      </c>
      <c r="O262" s="162">
        <v>0</v>
      </c>
      <c r="P262" s="162">
        <v>0</v>
      </c>
      <c r="Q262" s="165">
        <v>0</v>
      </c>
      <c r="R262" s="165"/>
      <c r="S262" s="165">
        <v>5000</v>
      </c>
      <c r="T262" s="165"/>
      <c r="U262" s="165">
        <v>2500</v>
      </c>
      <c r="V262" s="181">
        <v>0</v>
      </c>
      <c r="W262" s="180">
        <f>S262-Q262</f>
        <v>5000</v>
      </c>
    </row>
    <row r="263" spans="1:24">
      <c r="A263" s="161" t="s">
        <v>519</v>
      </c>
      <c r="B263" s="160" t="s">
        <v>384</v>
      </c>
      <c r="C263" s="160"/>
      <c r="D263" s="165"/>
      <c r="E263" s="165">
        <v>7256</v>
      </c>
      <c r="F263" s="165"/>
      <c r="G263" s="165">
        <v>8380.52</v>
      </c>
      <c r="H263" s="165"/>
      <c r="I263" s="165">
        <v>7893.46</v>
      </c>
      <c r="J263" s="165"/>
      <c r="K263" s="165">
        <v>8352.23</v>
      </c>
      <c r="L263" s="165"/>
      <c r="M263" s="165">
        <v>10718.51</v>
      </c>
      <c r="N263" s="165">
        <v>10717.37</v>
      </c>
      <c r="O263" s="162">
        <v>12460.57</v>
      </c>
      <c r="P263" s="162">
        <v>11432.92</v>
      </c>
      <c r="Q263" s="165">
        <v>12000</v>
      </c>
      <c r="R263" s="165"/>
      <c r="S263" s="165">
        <v>12000</v>
      </c>
      <c r="T263" s="165"/>
      <c r="U263" s="165">
        <v>12000</v>
      </c>
      <c r="V263" s="181">
        <f t="shared" si="42"/>
        <v>0</v>
      </c>
      <c r="W263" s="180">
        <f t="shared" si="40"/>
        <v>0</v>
      </c>
    </row>
    <row r="264" spans="1:24">
      <c r="A264" s="161" t="s">
        <v>520</v>
      </c>
      <c r="B264" s="160" t="s">
        <v>777</v>
      </c>
      <c r="C264" s="160"/>
      <c r="D264" s="165"/>
      <c r="E264" s="165">
        <v>8173</v>
      </c>
      <c r="F264" s="165"/>
      <c r="G264" s="165">
        <v>9098.61</v>
      </c>
      <c r="H264" s="165"/>
      <c r="I264" s="165">
        <v>8643.69</v>
      </c>
      <c r="J264" s="165"/>
      <c r="K264" s="165">
        <v>8329.23</v>
      </c>
      <c r="L264" s="165"/>
      <c r="M264" s="165">
        <v>8170.42</v>
      </c>
      <c r="N264" s="165">
        <v>9438.1200000000008</v>
      </c>
      <c r="O264" s="162">
        <v>8934.17</v>
      </c>
      <c r="P264" s="162">
        <v>16610.150000000001</v>
      </c>
      <c r="Q264" s="165">
        <v>17000</v>
      </c>
      <c r="R264" s="165"/>
      <c r="S264" s="165">
        <v>16500</v>
      </c>
      <c r="T264" s="415"/>
      <c r="U264" s="165">
        <v>16600</v>
      </c>
      <c r="V264" s="181">
        <f t="shared" si="42"/>
        <v>-2.3529411764705882E-2</v>
      </c>
      <c r="W264" s="180">
        <f t="shared" si="40"/>
        <v>-500</v>
      </c>
    </row>
    <row r="265" spans="1:24">
      <c r="A265" s="161" t="s">
        <v>1202</v>
      </c>
      <c r="B265" s="160" t="s">
        <v>1201</v>
      </c>
      <c r="C265" s="160"/>
      <c r="D265" s="165"/>
      <c r="E265" s="165">
        <v>8209</v>
      </c>
      <c r="F265" s="165"/>
      <c r="G265" s="165">
        <v>4418.7700000000004</v>
      </c>
      <c r="H265" s="165"/>
      <c r="I265" s="165">
        <v>11302.46</v>
      </c>
      <c r="J265" s="165"/>
      <c r="K265" s="165">
        <v>10856.11</v>
      </c>
      <c r="L265" s="165"/>
      <c r="M265" s="165">
        <v>1917</v>
      </c>
      <c r="N265" s="165">
        <v>3679</v>
      </c>
      <c r="O265" s="162">
        <v>6867.25</v>
      </c>
      <c r="P265" s="162">
        <v>834.12</v>
      </c>
      <c r="Q265" s="178">
        <v>1000</v>
      </c>
      <c r="R265" s="165"/>
      <c r="S265" s="165">
        <v>1000</v>
      </c>
      <c r="T265" s="165"/>
      <c r="U265" s="178">
        <v>1000</v>
      </c>
      <c r="V265" s="181">
        <f t="shared" si="42"/>
        <v>0</v>
      </c>
      <c r="W265" s="180">
        <f t="shared" si="40"/>
        <v>0</v>
      </c>
    </row>
    <row r="266" spans="1:24">
      <c r="A266" s="161" t="s">
        <v>1203</v>
      </c>
      <c r="B266" s="160" t="s">
        <v>1204</v>
      </c>
      <c r="C266" s="160"/>
      <c r="D266" s="165"/>
      <c r="E266" s="165">
        <v>8209</v>
      </c>
      <c r="F266" s="165"/>
      <c r="G266" s="165">
        <v>4418.7700000000004</v>
      </c>
      <c r="H266" s="165"/>
      <c r="I266" s="165">
        <v>11302.46</v>
      </c>
      <c r="J266" s="165"/>
      <c r="K266" s="165">
        <v>10856.11</v>
      </c>
      <c r="L266" s="165"/>
      <c r="M266" s="165">
        <v>1917</v>
      </c>
      <c r="N266" s="165">
        <v>3679</v>
      </c>
      <c r="O266" s="162">
        <v>6867.25</v>
      </c>
      <c r="P266" s="162">
        <v>620.16</v>
      </c>
      <c r="Q266" s="178">
        <v>650</v>
      </c>
      <c r="R266" s="165"/>
      <c r="S266" s="165">
        <v>650</v>
      </c>
      <c r="T266" s="165"/>
      <c r="U266" s="178">
        <v>650</v>
      </c>
      <c r="V266" s="181">
        <f t="shared" si="42"/>
        <v>0</v>
      </c>
      <c r="W266" s="180">
        <f>S266-Q266</f>
        <v>0</v>
      </c>
    </row>
    <row r="267" spans="1:24" ht="15.75">
      <c r="A267" s="161" t="s">
        <v>190</v>
      </c>
      <c r="B267" s="160" t="s">
        <v>370</v>
      </c>
      <c r="C267" s="160"/>
      <c r="D267" s="193"/>
      <c r="E267" s="165">
        <v>430</v>
      </c>
      <c r="F267" s="193"/>
      <c r="G267" s="165">
        <v>598</v>
      </c>
      <c r="H267" s="193"/>
      <c r="I267" s="165">
        <v>439.68</v>
      </c>
      <c r="J267" s="193"/>
      <c r="K267" s="165">
        <v>73.5</v>
      </c>
      <c r="L267" s="193"/>
      <c r="M267" s="165">
        <v>280</v>
      </c>
      <c r="N267" s="165">
        <v>0</v>
      </c>
      <c r="O267" s="162">
        <v>243.25</v>
      </c>
      <c r="P267" s="162">
        <v>0</v>
      </c>
      <c r="Q267" s="165">
        <v>500</v>
      </c>
      <c r="R267" s="165"/>
      <c r="S267" s="165">
        <v>0</v>
      </c>
      <c r="T267" s="193"/>
      <c r="U267" s="165">
        <v>500</v>
      </c>
      <c r="V267" s="181">
        <f t="shared" si="42"/>
        <v>0</v>
      </c>
      <c r="W267" s="180">
        <f t="shared" si="40"/>
        <v>-500</v>
      </c>
    </row>
    <row r="268" spans="1:24">
      <c r="A268" s="161" t="s">
        <v>521</v>
      </c>
      <c r="B268" s="160" t="s">
        <v>95</v>
      </c>
      <c r="C268" s="160"/>
      <c r="D268" s="165"/>
      <c r="E268" s="165">
        <v>33615</v>
      </c>
      <c r="F268" s="165"/>
      <c r="G268" s="165">
        <v>24188.17</v>
      </c>
      <c r="H268" s="165"/>
      <c r="I268" s="165">
        <v>30585.93</v>
      </c>
      <c r="J268" s="165"/>
      <c r="K268" s="165">
        <v>41470.47</v>
      </c>
      <c r="L268" s="165"/>
      <c r="M268" s="165">
        <v>48436.52</v>
      </c>
      <c r="N268" s="165">
        <v>48714.2</v>
      </c>
      <c r="O268" s="162">
        <v>35529.129999999997</v>
      </c>
      <c r="P268" s="162">
        <v>63913.46</v>
      </c>
      <c r="Q268" s="165">
        <v>74608.13</v>
      </c>
      <c r="R268" s="165"/>
      <c r="S268" s="165">
        <v>50000</v>
      </c>
      <c r="T268" s="165"/>
      <c r="U268" s="165">
        <v>60000</v>
      </c>
      <c r="V268" s="181">
        <f t="shared" si="42"/>
        <v>-0.19579809867905823</v>
      </c>
      <c r="W268" s="180">
        <f t="shared" si="40"/>
        <v>-24608.130000000005</v>
      </c>
    </row>
    <row r="269" spans="1:24">
      <c r="A269" s="161" t="s">
        <v>522</v>
      </c>
      <c r="B269" s="160" t="s">
        <v>71</v>
      </c>
      <c r="C269" s="160"/>
      <c r="D269" s="165"/>
      <c r="E269" s="165">
        <v>15380</v>
      </c>
      <c r="F269" s="165"/>
      <c r="G269" s="165">
        <v>13390.57</v>
      </c>
      <c r="H269" s="165"/>
      <c r="I269" s="165">
        <v>9592.65</v>
      </c>
      <c r="J269" s="165"/>
      <c r="K269" s="165">
        <v>14046.45</v>
      </c>
      <c r="L269" s="165"/>
      <c r="M269" s="165">
        <v>17219.09</v>
      </c>
      <c r="N269" s="165">
        <v>19618.86</v>
      </c>
      <c r="O269" s="162">
        <v>28484.75</v>
      </c>
      <c r="P269" s="162">
        <v>35190.65</v>
      </c>
      <c r="Q269" s="165">
        <v>43127.5</v>
      </c>
      <c r="R269" s="165"/>
      <c r="S269" s="165">
        <v>43127.5</v>
      </c>
      <c r="T269" s="165"/>
      <c r="U269" s="165">
        <v>36000</v>
      </c>
      <c r="V269" s="181">
        <f t="shared" si="42"/>
        <v>-0.16526578169381484</v>
      </c>
      <c r="W269" s="180">
        <f t="shared" si="40"/>
        <v>0</v>
      </c>
    </row>
    <row r="270" spans="1:24" ht="15.75">
      <c r="A270" s="161" t="s">
        <v>523</v>
      </c>
      <c r="B270" s="160" t="s">
        <v>72</v>
      </c>
      <c r="C270" s="160"/>
      <c r="D270" s="165"/>
      <c r="E270" s="165">
        <v>10409</v>
      </c>
      <c r="F270" s="165"/>
      <c r="G270" s="165">
        <v>17543.580000000002</v>
      </c>
      <c r="H270" s="165"/>
      <c r="I270" s="165">
        <v>8957.5300000000007</v>
      </c>
      <c r="J270" s="165"/>
      <c r="K270" s="165">
        <v>7551.29</v>
      </c>
      <c r="L270" s="165"/>
      <c r="M270" s="165">
        <v>7324.52</v>
      </c>
      <c r="N270" s="165">
        <v>11926.62</v>
      </c>
      <c r="O270" s="162">
        <v>9859.33</v>
      </c>
      <c r="P270" s="162">
        <v>5821.76</v>
      </c>
      <c r="Q270" s="165">
        <v>7000</v>
      </c>
      <c r="R270" s="165"/>
      <c r="S270" s="165">
        <v>5000</v>
      </c>
      <c r="T270" s="165"/>
      <c r="U270" s="165">
        <v>10000</v>
      </c>
      <c r="V270" s="181">
        <f t="shared" si="42"/>
        <v>0.42857142857142855</v>
      </c>
      <c r="W270" s="180">
        <f t="shared" si="40"/>
        <v>-2000</v>
      </c>
      <c r="X270" s="188"/>
    </row>
    <row r="271" spans="1:24" ht="15.75">
      <c r="A271" s="161" t="s">
        <v>626</v>
      </c>
      <c r="B271" s="160" t="s">
        <v>627</v>
      </c>
      <c r="C271" s="160"/>
      <c r="D271" s="165"/>
      <c r="E271" s="165">
        <v>0</v>
      </c>
      <c r="F271" s="165"/>
      <c r="G271" s="165">
        <v>1170.5999999999999</v>
      </c>
      <c r="H271" s="165"/>
      <c r="I271" s="165">
        <v>0</v>
      </c>
      <c r="J271" s="165"/>
      <c r="K271" s="165">
        <v>1250</v>
      </c>
      <c r="L271" s="165"/>
      <c r="M271" s="165">
        <v>0</v>
      </c>
      <c r="N271" s="165">
        <v>0</v>
      </c>
      <c r="O271" s="162">
        <v>1543.99</v>
      </c>
      <c r="P271" s="162">
        <v>1564.02</v>
      </c>
      <c r="Q271" s="165">
        <v>1500</v>
      </c>
      <c r="R271" s="165"/>
      <c r="S271" s="165">
        <v>1500</v>
      </c>
      <c r="T271" s="165"/>
      <c r="U271" s="165">
        <v>1500</v>
      </c>
      <c r="V271" s="181">
        <f t="shared" si="42"/>
        <v>0</v>
      </c>
      <c r="W271" s="180">
        <f t="shared" si="40"/>
        <v>0</v>
      </c>
      <c r="X271" s="188"/>
    </row>
    <row r="272" spans="1:24" ht="15.75">
      <c r="A272" s="161" t="s">
        <v>90</v>
      </c>
      <c r="B272" s="160" t="s">
        <v>178</v>
      </c>
      <c r="C272" s="160"/>
      <c r="D272" s="165"/>
      <c r="E272" s="165">
        <v>370</v>
      </c>
      <c r="F272" s="165"/>
      <c r="G272" s="165">
        <v>1104.74</v>
      </c>
      <c r="H272" s="165"/>
      <c r="I272" s="165">
        <v>1234.54</v>
      </c>
      <c r="J272" s="165"/>
      <c r="K272" s="165">
        <v>1021.04</v>
      </c>
      <c r="L272" s="165"/>
      <c r="M272" s="165">
        <v>1041.79</v>
      </c>
      <c r="N272" s="165">
        <v>885.84</v>
      </c>
      <c r="O272" s="162">
        <v>755.84</v>
      </c>
      <c r="P272" s="162">
        <v>998.84</v>
      </c>
      <c r="Q272" s="165">
        <v>1000</v>
      </c>
      <c r="R272" s="165"/>
      <c r="S272" s="165">
        <v>1000</v>
      </c>
      <c r="T272" s="165"/>
      <c r="U272" s="165">
        <v>1000</v>
      </c>
      <c r="V272" s="181">
        <f t="shared" si="42"/>
        <v>0</v>
      </c>
      <c r="W272" s="180">
        <f t="shared" si="40"/>
        <v>0</v>
      </c>
      <c r="X272" s="188"/>
    </row>
    <row r="273" spans="1:26">
      <c r="A273" s="161" t="s">
        <v>524</v>
      </c>
      <c r="B273" s="160" t="s">
        <v>387</v>
      </c>
      <c r="C273" s="160"/>
      <c r="D273" s="165"/>
      <c r="E273" s="165">
        <v>3003</v>
      </c>
      <c r="F273" s="165"/>
      <c r="G273" s="165">
        <v>2922.68</v>
      </c>
      <c r="H273" s="165"/>
      <c r="I273" s="165">
        <v>3462.58</v>
      </c>
      <c r="J273" s="165"/>
      <c r="K273" s="165">
        <v>6322.45</v>
      </c>
      <c r="L273" s="165"/>
      <c r="M273" s="165">
        <v>2683.19</v>
      </c>
      <c r="N273" s="165">
        <v>1036.3399999999999</v>
      </c>
      <c r="O273" s="162">
        <v>1574.5</v>
      </c>
      <c r="P273" s="162">
        <v>1653.59</v>
      </c>
      <c r="Q273" s="165">
        <v>1000</v>
      </c>
      <c r="R273" s="165"/>
      <c r="S273" s="165">
        <v>2500</v>
      </c>
      <c r="T273" s="165"/>
      <c r="U273" s="165">
        <v>2000</v>
      </c>
      <c r="V273" s="181">
        <f t="shared" si="42"/>
        <v>1</v>
      </c>
      <c r="W273" s="180">
        <f t="shared" si="40"/>
        <v>1500</v>
      </c>
    </row>
    <row r="274" spans="1:26">
      <c r="A274" s="161" t="s">
        <v>525</v>
      </c>
      <c r="B274" s="160" t="s">
        <v>1218</v>
      </c>
      <c r="C274" s="160"/>
      <c r="D274" s="165"/>
      <c r="E274" s="165">
        <v>4401</v>
      </c>
      <c r="F274" s="165"/>
      <c r="G274" s="165">
        <v>2818.51</v>
      </c>
      <c r="H274" s="165"/>
      <c r="I274" s="165">
        <v>2933.14</v>
      </c>
      <c r="J274" s="165"/>
      <c r="K274" s="165">
        <v>11833.23</v>
      </c>
      <c r="L274" s="165"/>
      <c r="M274" s="165">
        <v>2846.44</v>
      </c>
      <c r="N274" s="165">
        <v>9445.07</v>
      </c>
      <c r="O274" s="162">
        <v>7258.51</v>
      </c>
      <c r="P274" s="162">
        <v>4775</v>
      </c>
      <c r="Q274" s="165">
        <v>3000</v>
      </c>
      <c r="R274" s="165"/>
      <c r="S274" s="165">
        <v>4500</v>
      </c>
      <c r="T274" s="165"/>
      <c r="U274" s="165">
        <v>8500</v>
      </c>
      <c r="V274" s="181">
        <f t="shared" si="42"/>
        <v>1.8333333333333333</v>
      </c>
      <c r="W274" s="180">
        <f t="shared" si="40"/>
        <v>1500</v>
      </c>
    </row>
    <row r="275" spans="1:26">
      <c r="A275" s="161" t="s">
        <v>875</v>
      </c>
      <c r="B275" s="160" t="s">
        <v>876</v>
      </c>
      <c r="C275" s="160"/>
      <c r="D275" s="165"/>
      <c r="E275" s="165">
        <v>4401</v>
      </c>
      <c r="F275" s="165"/>
      <c r="G275" s="165">
        <v>2818.51</v>
      </c>
      <c r="H275" s="165"/>
      <c r="I275" s="165">
        <v>0</v>
      </c>
      <c r="J275" s="165"/>
      <c r="K275" s="165">
        <v>3067.3</v>
      </c>
      <c r="L275" s="165"/>
      <c r="M275" s="165">
        <v>0</v>
      </c>
      <c r="N275" s="165">
        <v>44.04</v>
      </c>
      <c r="O275" s="162">
        <v>4801.2</v>
      </c>
      <c r="P275" s="162">
        <v>11458.08</v>
      </c>
      <c r="Q275" s="165">
        <v>25000</v>
      </c>
      <c r="R275" s="165"/>
      <c r="S275" s="165">
        <v>25000</v>
      </c>
      <c r="T275" s="165"/>
      <c r="U275" s="165">
        <v>25000</v>
      </c>
      <c r="V275" s="181">
        <f t="shared" si="42"/>
        <v>0</v>
      </c>
      <c r="W275" s="180">
        <f t="shared" si="40"/>
        <v>0</v>
      </c>
    </row>
    <row r="276" spans="1:26">
      <c r="A276" s="161" t="s">
        <v>1312</v>
      </c>
      <c r="B276" s="160" t="s">
        <v>388</v>
      </c>
      <c r="C276" s="160"/>
      <c r="D276" s="165"/>
      <c r="E276" s="165"/>
      <c r="F276" s="165"/>
      <c r="G276" s="165"/>
      <c r="H276" s="165"/>
      <c r="I276" s="165"/>
      <c r="J276" s="165"/>
      <c r="K276" s="165"/>
      <c r="L276" s="165"/>
      <c r="M276" s="165"/>
      <c r="N276" s="165"/>
      <c r="O276" s="162"/>
      <c r="P276" s="162">
        <v>6793</v>
      </c>
      <c r="Q276" s="165">
        <v>7000</v>
      </c>
      <c r="R276" s="165"/>
      <c r="S276" s="165">
        <v>6804</v>
      </c>
      <c r="T276" s="165"/>
      <c r="U276" s="165">
        <v>7000</v>
      </c>
      <c r="V276" s="181">
        <f t="shared" si="42"/>
        <v>0</v>
      </c>
      <c r="W276" s="180">
        <f t="shared" si="40"/>
        <v>-196</v>
      </c>
    </row>
    <row r="277" spans="1:26" s="196" customFormat="1" ht="15.75">
      <c r="A277" s="161" t="s">
        <v>526</v>
      </c>
      <c r="B277" s="160" t="s">
        <v>389</v>
      </c>
      <c r="D277" s="253"/>
      <c r="E277" s="165">
        <v>13277</v>
      </c>
      <c r="F277" s="253"/>
      <c r="G277" s="165">
        <v>10468.77</v>
      </c>
      <c r="H277" s="253"/>
      <c r="I277" s="165">
        <v>11069.26</v>
      </c>
      <c r="J277" s="253"/>
      <c r="K277" s="165">
        <v>11443.32</v>
      </c>
      <c r="L277" s="253"/>
      <c r="M277" s="165">
        <v>8232.18</v>
      </c>
      <c r="N277" s="165">
        <v>9968.66</v>
      </c>
      <c r="O277" s="162">
        <v>14753.28</v>
      </c>
      <c r="P277" s="162">
        <v>19837.16</v>
      </c>
      <c r="Q277" s="165">
        <v>20000</v>
      </c>
      <c r="R277" s="165"/>
      <c r="S277" s="165">
        <v>24400</v>
      </c>
      <c r="T277" s="253"/>
      <c r="U277" s="165">
        <v>25000</v>
      </c>
      <c r="V277" s="181">
        <f t="shared" si="42"/>
        <v>0.25</v>
      </c>
      <c r="W277" s="180">
        <f t="shared" si="40"/>
        <v>4400</v>
      </c>
      <c r="X277" s="188"/>
      <c r="Z277" s="160"/>
    </row>
    <row r="278" spans="1:26" hidden="1">
      <c r="A278" s="161" t="s">
        <v>1205</v>
      </c>
      <c r="B278" s="160" t="s">
        <v>1206</v>
      </c>
      <c r="C278" s="160"/>
      <c r="D278" s="165"/>
      <c r="E278" s="165">
        <v>29605</v>
      </c>
      <c r="F278" s="165"/>
      <c r="G278" s="165">
        <v>0</v>
      </c>
      <c r="H278" s="165"/>
      <c r="I278" s="165">
        <v>0</v>
      </c>
      <c r="J278" s="165"/>
      <c r="K278" s="165">
        <v>162736.20000000001</v>
      </c>
      <c r="L278" s="165"/>
      <c r="M278" s="165">
        <v>319281.88</v>
      </c>
      <c r="N278" s="165">
        <v>33834</v>
      </c>
      <c r="O278" s="162">
        <v>42464</v>
      </c>
      <c r="P278" s="162"/>
      <c r="R278" s="165"/>
      <c r="T278" s="165"/>
      <c r="V278" s="181">
        <v>0</v>
      </c>
      <c r="W278" s="180">
        <f>S278-Q278</f>
        <v>0</v>
      </c>
    </row>
    <row r="279" spans="1:26">
      <c r="A279" s="161" t="s">
        <v>693</v>
      </c>
      <c r="B279" s="160" t="s">
        <v>606</v>
      </c>
      <c r="C279" s="160"/>
      <c r="D279" s="165"/>
      <c r="E279" s="165">
        <v>29605</v>
      </c>
      <c r="F279" s="165"/>
      <c r="G279" s="165">
        <v>0</v>
      </c>
      <c r="H279" s="165"/>
      <c r="I279" s="165">
        <v>0</v>
      </c>
      <c r="J279" s="165"/>
      <c r="K279" s="165">
        <v>162736.20000000001</v>
      </c>
      <c r="L279" s="165"/>
      <c r="M279" s="165">
        <v>319281.88</v>
      </c>
      <c r="N279" s="165">
        <v>33834</v>
      </c>
      <c r="O279" s="162">
        <v>42464</v>
      </c>
      <c r="P279" s="162">
        <v>53146.8</v>
      </c>
      <c r="Q279" s="165">
        <v>5391.87</v>
      </c>
      <c r="R279" s="165"/>
      <c r="S279" s="165">
        <v>362000</v>
      </c>
      <c r="T279" s="165"/>
      <c r="U279" s="165">
        <v>0</v>
      </c>
      <c r="V279" s="181">
        <f t="shared" si="42"/>
        <v>-1</v>
      </c>
      <c r="W279" s="180">
        <f t="shared" si="40"/>
        <v>356608.13</v>
      </c>
    </row>
    <row r="280" spans="1:26">
      <c r="A280" s="161" t="s">
        <v>204</v>
      </c>
      <c r="B280" s="160" t="s">
        <v>797</v>
      </c>
      <c r="C280" s="160"/>
      <c r="D280" s="165"/>
      <c r="E280" s="165">
        <v>15935</v>
      </c>
      <c r="F280" s="165"/>
      <c r="G280" s="165">
        <v>14666.97</v>
      </c>
      <c r="H280" s="165"/>
      <c r="I280" s="165">
        <v>10248.35</v>
      </c>
      <c r="J280" s="165"/>
      <c r="K280" s="165">
        <v>12678.4</v>
      </c>
      <c r="L280" s="165"/>
      <c r="M280" s="165">
        <v>8280.59</v>
      </c>
      <c r="N280" s="165">
        <v>7947.64</v>
      </c>
      <c r="O280" s="162">
        <v>39699.129999999997</v>
      </c>
      <c r="P280" s="162">
        <v>28657.18</v>
      </c>
      <c r="Q280" s="165">
        <v>25000</v>
      </c>
      <c r="R280" s="165"/>
      <c r="S280" s="165">
        <v>22270</v>
      </c>
      <c r="T280" s="165"/>
      <c r="U280" s="165">
        <v>24000</v>
      </c>
      <c r="V280" s="181">
        <f t="shared" si="42"/>
        <v>-0.04</v>
      </c>
      <c r="W280" s="180">
        <f t="shared" si="40"/>
        <v>-2730</v>
      </c>
    </row>
    <row r="281" spans="1:26" ht="15.75">
      <c r="A281" s="161" t="s">
        <v>527</v>
      </c>
      <c r="B281" s="160" t="s">
        <v>96</v>
      </c>
      <c r="C281" s="160"/>
      <c r="D281" s="193"/>
      <c r="E281" s="165">
        <v>751</v>
      </c>
      <c r="F281" s="193"/>
      <c r="G281" s="165">
        <v>0</v>
      </c>
      <c r="H281" s="193"/>
      <c r="I281" s="165">
        <v>788.68</v>
      </c>
      <c r="J281" s="193"/>
      <c r="K281" s="165">
        <v>1649.97</v>
      </c>
      <c r="L281" s="193"/>
      <c r="M281" s="165">
        <v>489.69</v>
      </c>
      <c r="N281" s="165">
        <v>-800.19</v>
      </c>
      <c r="O281" s="162">
        <v>2864.38</v>
      </c>
      <c r="P281" s="162">
        <v>3999.44</v>
      </c>
      <c r="Q281" s="165">
        <v>4000</v>
      </c>
      <c r="R281" s="165"/>
      <c r="S281" s="165">
        <v>4000</v>
      </c>
      <c r="T281" s="193"/>
      <c r="U281" s="165">
        <v>4000</v>
      </c>
      <c r="V281" s="181">
        <f t="shared" si="42"/>
        <v>0</v>
      </c>
      <c r="W281" s="180">
        <f t="shared" si="40"/>
        <v>0</v>
      </c>
    </row>
    <row r="282" spans="1:26" ht="15.75" hidden="1">
      <c r="A282" s="161" t="s">
        <v>1207</v>
      </c>
      <c r="B282" s="160" t="s">
        <v>1208</v>
      </c>
      <c r="C282" s="160"/>
      <c r="D282" s="193"/>
      <c r="E282" s="165">
        <v>751</v>
      </c>
      <c r="F282" s="193"/>
      <c r="G282" s="165">
        <v>0</v>
      </c>
      <c r="H282" s="193"/>
      <c r="I282" s="165">
        <v>788.68</v>
      </c>
      <c r="J282" s="193"/>
      <c r="K282" s="165">
        <v>1649.97</v>
      </c>
      <c r="L282" s="193"/>
      <c r="M282" s="165">
        <v>489.69</v>
      </c>
      <c r="N282" s="165">
        <v>-800.19</v>
      </c>
      <c r="O282" s="162">
        <v>2864.38</v>
      </c>
      <c r="P282" s="162"/>
      <c r="R282" s="165"/>
      <c r="T282" s="193"/>
      <c r="V282" s="181">
        <v>0</v>
      </c>
      <c r="W282" s="180">
        <f>S282-Q282</f>
        <v>0</v>
      </c>
    </row>
    <row r="283" spans="1:26" ht="15.75" hidden="1">
      <c r="A283" s="161" t="s">
        <v>778</v>
      </c>
      <c r="B283" s="160" t="s">
        <v>955</v>
      </c>
      <c r="C283" s="160"/>
      <c r="D283" s="193"/>
      <c r="E283" s="165">
        <v>1543</v>
      </c>
      <c r="F283" s="193"/>
      <c r="G283" s="165">
        <v>23147.19</v>
      </c>
      <c r="H283" s="193"/>
      <c r="I283" s="165">
        <v>27433.8</v>
      </c>
      <c r="J283" s="193"/>
      <c r="K283" s="165">
        <v>0</v>
      </c>
      <c r="L283" s="193"/>
      <c r="M283" s="165">
        <v>0</v>
      </c>
      <c r="N283" s="165">
        <v>50791.78</v>
      </c>
      <c r="O283" s="162">
        <v>43335.46</v>
      </c>
      <c r="P283" s="162"/>
      <c r="R283" s="165"/>
      <c r="T283" s="193"/>
      <c r="V283" s="181" t="e">
        <f t="shared" si="42"/>
        <v>#DIV/0!</v>
      </c>
      <c r="W283" s="180">
        <f>S283-Q283</f>
        <v>0</v>
      </c>
      <c r="Z283" s="196"/>
    </row>
    <row r="284" spans="1:26" ht="15.75" hidden="1">
      <c r="A284" s="161" t="s">
        <v>877</v>
      </c>
      <c r="B284" s="160" t="s">
        <v>956</v>
      </c>
      <c r="C284" s="160"/>
      <c r="D284" s="193"/>
      <c r="E284" s="165">
        <v>1543</v>
      </c>
      <c r="F284" s="193"/>
      <c r="G284" s="165">
        <v>4188.46</v>
      </c>
      <c r="H284" s="193"/>
      <c r="I284" s="165">
        <v>3039.12</v>
      </c>
      <c r="J284" s="193"/>
      <c r="K284" s="165">
        <v>0</v>
      </c>
      <c r="L284" s="193"/>
      <c r="M284" s="165">
        <v>0</v>
      </c>
      <c r="N284" s="165">
        <v>9011.65</v>
      </c>
      <c r="O284" s="162">
        <v>6189.41</v>
      </c>
      <c r="P284" s="162"/>
      <c r="R284" s="165"/>
      <c r="T284" s="193"/>
      <c r="V284" s="181" t="e">
        <f t="shared" si="42"/>
        <v>#DIV/0!</v>
      </c>
      <c r="W284" s="180">
        <f>S284-Q284</f>
        <v>0</v>
      </c>
      <c r="Z284" s="196"/>
    </row>
    <row r="285" spans="1:26" ht="15.75">
      <c r="A285" s="161" t="s">
        <v>91</v>
      </c>
      <c r="B285" s="160" t="s">
        <v>462</v>
      </c>
      <c r="C285" s="160"/>
      <c r="D285" s="193"/>
      <c r="E285" s="165">
        <v>1543</v>
      </c>
      <c r="F285" s="193"/>
      <c r="G285" s="165">
        <v>6079.5</v>
      </c>
      <c r="H285" s="193"/>
      <c r="I285" s="165">
        <v>1635.34</v>
      </c>
      <c r="J285" s="193"/>
      <c r="K285" s="165">
        <v>2037.71</v>
      </c>
      <c r="L285" s="193"/>
      <c r="M285" s="165">
        <v>925.75</v>
      </c>
      <c r="N285" s="165">
        <v>2375.2800000000002</v>
      </c>
      <c r="O285" s="162">
        <v>1644.55</v>
      </c>
      <c r="P285" s="162">
        <v>0</v>
      </c>
      <c r="Q285" s="165">
        <v>500</v>
      </c>
      <c r="R285" s="165"/>
      <c r="S285" s="165">
        <v>5000</v>
      </c>
      <c r="T285" s="193"/>
      <c r="U285" s="165">
        <v>500</v>
      </c>
      <c r="V285" s="181">
        <f t="shared" si="42"/>
        <v>0</v>
      </c>
      <c r="W285" s="180">
        <f t="shared" si="40"/>
        <v>4500</v>
      </c>
      <c r="Z285" s="196"/>
    </row>
    <row r="286" spans="1:26" ht="15.75" hidden="1">
      <c r="A286" s="161" t="s">
        <v>1313</v>
      </c>
      <c r="B286" s="160" t="s">
        <v>1314</v>
      </c>
      <c r="C286" s="160"/>
      <c r="D286" s="193"/>
      <c r="E286" s="165"/>
      <c r="F286" s="193"/>
      <c r="G286" s="165"/>
      <c r="H286" s="193"/>
      <c r="I286" s="165"/>
      <c r="J286" s="193"/>
      <c r="K286" s="165"/>
      <c r="L286" s="193"/>
      <c r="M286" s="165"/>
      <c r="N286" s="165"/>
      <c r="O286" s="162"/>
      <c r="P286" s="162">
        <v>0</v>
      </c>
      <c r="Q286" s="165">
        <v>0</v>
      </c>
      <c r="R286" s="165"/>
      <c r="S286" s="165">
        <v>0</v>
      </c>
      <c r="T286" s="193"/>
      <c r="U286" s="165">
        <v>0</v>
      </c>
      <c r="V286" s="181" t="e">
        <f t="shared" si="42"/>
        <v>#DIV/0!</v>
      </c>
      <c r="W286" s="180">
        <f t="shared" si="40"/>
        <v>0</v>
      </c>
      <c r="Z286" s="196"/>
    </row>
    <row r="287" spans="1:26" ht="15.75">
      <c r="B287" s="172" t="s">
        <v>470</v>
      </c>
      <c r="C287" s="177"/>
      <c r="D287" s="332"/>
      <c r="E287" s="287">
        <f>SUM(E239:E285)</f>
        <v>1245961</v>
      </c>
      <c r="F287" s="332"/>
      <c r="G287" s="287">
        <f>SUM(G239:G285)</f>
        <v>1143418.5500000005</v>
      </c>
      <c r="H287" s="332"/>
      <c r="I287" s="287">
        <f>SUM(I239:I285)</f>
        <v>1289579.71</v>
      </c>
      <c r="J287" s="332"/>
      <c r="K287" s="287">
        <f>SUM(K239:K285)</f>
        <v>1529805.6400000001</v>
      </c>
      <c r="L287" s="332"/>
      <c r="M287" s="287">
        <f t="shared" ref="M287:R287" si="43">SUM(M239:M285)</f>
        <v>1947257.3699999999</v>
      </c>
      <c r="N287" s="287">
        <f t="shared" si="43"/>
        <v>1354577.6100000006</v>
      </c>
      <c r="O287" s="285">
        <f t="shared" si="43"/>
        <v>1341739.5899999996</v>
      </c>
      <c r="P287" s="333">
        <f>SUM(P239:P286)</f>
        <v>1818915.69</v>
      </c>
      <c r="Q287" s="333">
        <f>SUM(Q239:Q286)</f>
        <v>2004641.1800000002</v>
      </c>
      <c r="R287" s="242">
        <f t="shared" si="43"/>
        <v>0</v>
      </c>
      <c r="S287" s="242">
        <f>SUM(S239:S286)</f>
        <v>2237951.5</v>
      </c>
      <c r="T287" s="399"/>
      <c r="U287" s="242">
        <f>SUM(U239:U286)</f>
        <v>2175951</v>
      </c>
      <c r="V287" s="384">
        <f>(U287-Q287)/Q287</f>
        <v>8.5456600267984031E-2</v>
      </c>
      <c r="W287" s="192">
        <f t="shared" si="40"/>
        <v>233310.31999999983</v>
      </c>
    </row>
    <row r="288" spans="1:26" ht="15.75">
      <c r="B288" s="172"/>
      <c r="C288" s="177"/>
      <c r="E288" s="391"/>
      <c r="G288" s="193"/>
      <c r="H288" s="165"/>
      <c r="I288" s="193"/>
      <c r="J288" s="165"/>
      <c r="K288" s="193"/>
      <c r="L288" s="165"/>
      <c r="M288" s="193"/>
      <c r="N288" s="193"/>
      <c r="O288" s="391"/>
      <c r="P288" s="391"/>
      <c r="R288" s="253"/>
      <c r="T288" s="165"/>
      <c r="W288" s="180"/>
      <c r="X288" s="188"/>
    </row>
    <row r="289" spans="1:26" ht="15.75" hidden="1">
      <c r="A289" s="161"/>
      <c r="B289" s="262" t="s">
        <v>364</v>
      </c>
      <c r="C289" s="160"/>
      <c r="D289" s="292"/>
      <c r="F289" s="292"/>
      <c r="G289" s="165"/>
      <c r="H289" s="193"/>
      <c r="I289" s="165"/>
      <c r="J289" s="193"/>
      <c r="K289" s="165"/>
      <c r="L289" s="193"/>
      <c r="M289" s="165"/>
      <c r="N289" s="165"/>
      <c r="R289" s="253"/>
      <c r="T289" s="193"/>
      <c r="W289" s="180"/>
    </row>
    <row r="290" spans="1:26" hidden="1">
      <c r="A290" s="161" t="s">
        <v>592</v>
      </c>
      <c r="B290" s="160" t="s">
        <v>593</v>
      </c>
      <c r="C290" s="160"/>
      <c r="E290" s="164">
        <v>0</v>
      </c>
      <c r="G290" s="165">
        <v>0</v>
      </c>
      <c r="H290" s="165"/>
      <c r="I290" s="165">
        <v>0</v>
      </c>
      <c r="J290" s="165"/>
      <c r="K290" s="165">
        <v>0</v>
      </c>
      <c r="L290" s="165"/>
      <c r="M290" s="165">
        <v>0</v>
      </c>
      <c r="N290" s="165">
        <v>0</v>
      </c>
      <c r="O290" s="164">
        <v>0</v>
      </c>
      <c r="P290" s="164">
        <v>0</v>
      </c>
      <c r="Q290" s="165">
        <v>0</v>
      </c>
      <c r="R290" s="253">
        <f t="shared" ref="R290:R295" si="44">+J290/9*12</f>
        <v>0</v>
      </c>
      <c r="S290" s="165">
        <f t="shared" ref="S290:S295" si="45">Q290</f>
        <v>0</v>
      </c>
      <c r="T290" s="165"/>
      <c r="U290" s="165">
        <f t="shared" ref="U290:U295" si="46">S290</f>
        <v>0</v>
      </c>
      <c r="W290" s="180"/>
    </row>
    <row r="291" spans="1:26" hidden="1">
      <c r="A291" s="161" t="s">
        <v>594</v>
      </c>
      <c r="B291" s="160" t="s">
        <v>182</v>
      </c>
      <c r="C291" s="160"/>
      <c r="E291" s="164">
        <v>0</v>
      </c>
      <c r="G291" s="165">
        <v>0</v>
      </c>
      <c r="H291" s="165"/>
      <c r="I291" s="165">
        <v>0</v>
      </c>
      <c r="J291" s="165"/>
      <c r="K291" s="165">
        <v>0</v>
      </c>
      <c r="L291" s="165"/>
      <c r="M291" s="165">
        <v>0</v>
      </c>
      <c r="N291" s="165">
        <v>0</v>
      </c>
      <c r="O291" s="164">
        <v>0</v>
      </c>
      <c r="P291" s="164">
        <v>0</v>
      </c>
      <c r="Q291" s="165">
        <v>0</v>
      </c>
      <c r="R291" s="253">
        <f t="shared" si="44"/>
        <v>0</v>
      </c>
      <c r="S291" s="165">
        <f t="shared" si="45"/>
        <v>0</v>
      </c>
      <c r="T291" s="165"/>
      <c r="U291" s="165">
        <f t="shared" si="46"/>
        <v>0</v>
      </c>
      <c r="W291" s="180"/>
    </row>
    <row r="292" spans="1:26" hidden="1">
      <c r="A292" s="161" t="s">
        <v>595</v>
      </c>
      <c r="B292" s="160" t="s">
        <v>596</v>
      </c>
      <c r="C292" s="160"/>
      <c r="E292" s="164">
        <v>0</v>
      </c>
      <c r="G292" s="165">
        <v>0</v>
      </c>
      <c r="H292" s="165"/>
      <c r="I292" s="165">
        <v>0</v>
      </c>
      <c r="J292" s="165"/>
      <c r="K292" s="165">
        <v>0</v>
      </c>
      <c r="L292" s="165"/>
      <c r="M292" s="165">
        <v>0</v>
      </c>
      <c r="N292" s="165">
        <v>0</v>
      </c>
      <c r="O292" s="164">
        <v>0</v>
      </c>
      <c r="P292" s="164">
        <v>0</v>
      </c>
      <c r="Q292" s="165">
        <v>0</v>
      </c>
      <c r="R292" s="253">
        <f t="shared" si="44"/>
        <v>0</v>
      </c>
      <c r="S292" s="165">
        <f t="shared" si="45"/>
        <v>0</v>
      </c>
      <c r="T292" s="165"/>
      <c r="U292" s="165">
        <f t="shared" si="46"/>
        <v>0</v>
      </c>
      <c r="W292" s="180"/>
    </row>
    <row r="293" spans="1:26" hidden="1">
      <c r="A293" s="161" t="s">
        <v>597</v>
      </c>
      <c r="B293" s="160" t="s">
        <v>598</v>
      </c>
      <c r="C293" s="160"/>
      <c r="E293" s="164">
        <v>0</v>
      </c>
      <c r="G293" s="165">
        <v>0</v>
      </c>
      <c r="H293" s="165"/>
      <c r="I293" s="165">
        <v>0</v>
      </c>
      <c r="J293" s="165"/>
      <c r="K293" s="165">
        <v>0</v>
      </c>
      <c r="L293" s="165"/>
      <c r="M293" s="165">
        <v>0</v>
      </c>
      <c r="N293" s="165">
        <v>0</v>
      </c>
      <c r="O293" s="164">
        <v>0</v>
      </c>
      <c r="P293" s="164">
        <v>0</v>
      </c>
      <c r="Q293" s="165">
        <v>0</v>
      </c>
      <c r="R293" s="253">
        <f t="shared" si="44"/>
        <v>0</v>
      </c>
      <c r="S293" s="165">
        <f t="shared" si="45"/>
        <v>0</v>
      </c>
      <c r="T293" s="165"/>
      <c r="U293" s="165">
        <f t="shared" si="46"/>
        <v>0</v>
      </c>
      <c r="W293" s="180"/>
    </row>
    <row r="294" spans="1:26" hidden="1">
      <c r="A294" s="161" t="s">
        <v>599</v>
      </c>
      <c r="B294" s="160" t="s">
        <v>600</v>
      </c>
      <c r="C294" s="160"/>
      <c r="E294" s="164">
        <v>0</v>
      </c>
      <c r="G294" s="165">
        <v>0</v>
      </c>
      <c r="H294" s="165"/>
      <c r="I294" s="165">
        <v>0</v>
      </c>
      <c r="J294" s="165"/>
      <c r="K294" s="165">
        <v>0</v>
      </c>
      <c r="L294" s="165"/>
      <c r="M294" s="165">
        <v>0</v>
      </c>
      <c r="N294" s="165">
        <v>0</v>
      </c>
      <c r="O294" s="164">
        <v>0</v>
      </c>
      <c r="P294" s="164">
        <v>0</v>
      </c>
      <c r="Q294" s="165">
        <v>0</v>
      </c>
      <c r="R294" s="253">
        <f t="shared" si="44"/>
        <v>0</v>
      </c>
      <c r="S294" s="165">
        <f t="shared" si="45"/>
        <v>0</v>
      </c>
      <c r="T294" s="165"/>
      <c r="U294" s="165">
        <f t="shared" si="46"/>
        <v>0</v>
      </c>
      <c r="W294" s="180"/>
    </row>
    <row r="295" spans="1:26" hidden="1">
      <c r="A295" s="161" t="s">
        <v>601</v>
      </c>
      <c r="B295" s="160" t="s">
        <v>602</v>
      </c>
      <c r="C295" s="160"/>
      <c r="D295" s="179"/>
      <c r="E295" s="164">
        <v>0</v>
      </c>
      <c r="F295" s="179"/>
      <c r="G295" s="165">
        <v>0</v>
      </c>
      <c r="H295" s="253"/>
      <c r="I295" s="165">
        <v>0</v>
      </c>
      <c r="J295" s="253"/>
      <c r="K295" s="165">
        <v>0</v>
      </c>
      <c r="L295" s="253"/>
      <c r="M295" s="165">
        <v>0</v>
      </c>
      <c r="N295" s="165">
        <v>0</v>
      </c>
      <c r="O295" s="164">
        <v>0</v>
      </c>
      <c r="P295" s="164">
        <v>0</v>
      </c>
      <c r="Q295" s="165">
        <v>0</v>
      </c>
      <c r="R295" s="253">
        <f t="shared" si="44"/>
        <v>0</v>
      </c>
      <c r="S295" s="165">
        <f t="shared" si="45"/>
        <v>0</v>
      </c>
      <c r="T295" s="253"/>
      <c r="U295" s="165">
        <f t="shared" si="46"/>
        <v>0</v>
      </c>
      <c r="W295" s="180"/>
    </row>
    <row r="296" spans="1:26" hidden="1">
      <c r="A296" s="161" t="s">
        <v>603</v>
      </c>
      <c r="B296" s="160" t="s">
        <v>604</v>
      </c>
      <c r="C296" s="160"/>
      <c r="D296" s="179"/>
      <c r="E296" s="164">
        <v>0</v>
      </c>
      <c r="F296" s="179"/>
      <c r="G296" s="165">
        <v>0</v>
      </c>
      <c r="H296" s="253"/>
      <c r="I296" s="165">
        <v>0</v>
      </c>
      <c r="J296" s="253"/>
      <c r="K296" s="165">
        <v>0</v>
      </c>
      <c r="L296" s="253"/>
      <c r="M296" s="165">
        <v>0</v>
      </c>
      <c r="N296" s="165">
        <v>0</v>
      </c>
      <c r="O296" s="164">
        <v>0</v>
      </c>
      <c r="P296" s="164">
        <v>0</v>
      </c>
      <c r="R296" s="253"/>
      <c r="T296" s="253"/>
      <c r="W296" s="180"/>
    </row>
    <row r="297" spans="1:26" hidden="1">
      <c r="A297" s="161" t="s">
        <v>605</v>
      </c>
      <c r="B297" s="160" t="s">
        <v>392</v>
      </c>
      <c r="C297" s="160"/>
      <c r="D297" s="179"/>
      <c r="E297" s="164">
        <v>0</v>
      </c>
      <c r="F297" s="179"/>
      <c r="G297" s="165">
        <v>0</v>
      </c>
      <c r="H297" s="253"/>
      <c r="I297" s="165">
        <v>0</v>
      </c>
      <c r="J297" s="253"/>
      <c r="K297" s="165">
        <v>0</v>
      </c>
      <c r="L297" s="253"/>
      <c r="M297" s="165">
        <v>0</v>
      </c>
      <c r="N297" s="165">
        <v>0</v>
      </c>
      <c r="O297" s="164">
        <v>0</v>
      </c>
      <c r="P297" s="164">
        <v>0</v>
      </c>
      <c r="R297" s="253"/>
      <c r="T297" s="253"/>
      <c r="W297" s="180"/>
    </row>
    <row r="298" spans="1:26" hidden="1">
      <c r="A298" s="161"/>
      <c r="C298" s="160"/>
      <c r="D298" s="179"/>
      <c r="F298" s="179"/>
      <c r="G298" s="165"/>
      <c r="H298" s="253"/>
      <c r="I298" s="165"/>
      <c r="J298" s="253"/>
      <c r="K298" s="165"/>
      <c r="L298" s="253"/>
      <c r="M298" s="165"/>
      <c r="N298" s="165"/>
      <c r="R298" s="253"/>
      <c r="T298" s="253"/>
      <c r="W298" s="180"/>
    </row>
    <row r="299" spans="1:26" ht="15.75" hidden="1">
      <c r="B299" s="172" t="s">
        <v>470</v>
      </c>
      <c r="C299" s="161"/>
      <c r="E299" s="391">
        <f>SUM(E289:E297)</f>
        <v>0</v>
      </c>
      <c r="G299" s="193">
        <f>SUM(G289:G297)</f>
        <v>0</v>
      </c>
      <c r="H299" s="165"/>
      <c r="I299" s="193">
        <f>SUM(I289:I297)</f>
        <v>0</v>
      </c>
      <c r="J299" s="165"/>
      <c r="K299" s="193">
        <f>SUM(K289:K297)</f>
        <v>0</v>
      </c>
      <c r="L299" s="165"/>
      <c r="M299" s="193">
        <f>SUM(M289:M297)</f>
        <v>0</v>
      </c>
      <c r="N299" s="193">
        <f>SUM(N289:N297)</f>
        <v>0</v>
      </c>
      <c r="O299" s="391">
        <f>SUM(O289:O297)</f>
        <v>0</v>
      </c>
      <c r="P299" s="391">
        <f>SUM(P289:P297)</f>
        <v>0</v>
      </c>
      <c r="Q299" s="193">
        <v>0</v>
      </c>
      <c r="R299" s="193">
        <f>SUM(R289:R295)</f>
        <v>0</v>
      </c>
      <c r="S299" s="193">
        <f>SUM(S289:S295)</f>
        <v>0</v>
      </c>
      <c r="T299" s="165"/>
      <c r="U299" s="193">
        <f>SUM(U289:U295)</f>
        <v>0</v>
      </c>
      <c r="W299" s="180"/>
    </row>
    <row r="300" spans="1:26" ht="15.75" hidden="1">
      <c r="B300" s="172"/>
      <c r="C300" s="161"/>
      <c r="E300" s="391"/>
      <c r="G300" s="193"/>
      <c r="H300" s="165"/>
      <c r="I300" s="193"/>
      <c r="J300" s="165"/>
      <c r="K300" s="193"/>
      <c r="L300" s="165"/>
      <c r="M300" s="193"/>
      <c r="N300" s="193"/>
      <c r="O300" s="391"/>
      <c r="P300" s="391"/>
      <c r="Q300" s="193"/>
      <c r="R300" s="193"/>
      <c r="S300" s="193"/>
      <c r="T300" s="165"/>
      <c r="U300" s="193"/>
      <c r="W300" s="180"/>
    </row>
    <row r="301" spans="1:26" s="188" customFormat="1" ht="15.75" hidden="1">
      <c r="B301" s="262" t="s">
        <v>97</v>
      </c>
      <c r="C301" s="161"/>
      <c r="D301" s="162"/>
      <c r="E301" s="164"/>
      <c r="F301" s="162"/>
      <c r="G301" s="165"/>
      <c r="H301" s="165"/>
      <c r="I301" s="165"/>
      <c r="J301" s="165"/>
      <c r="K301" s="165"/>
      <c r="L301" s="165"/>
      <c r="M301" s="165"/>
      <c r="N301" s="165"/>
      <c r="O301" s="164"/>
      <c r="P301" s="164"/>
      <c r="Q301" s="165"/>
      <c r="R301" s="253"/>
      <c r="S301" s="165"/>
      <c r="T301" s="165"/>
      <c r="U301" s="165"/>
      <c r="V301" s="181"/>
      <c r="W301" s="180"/>
      <c r="X301" s="160"/>
      <c r="Z301" s="160"/>
    </row>
    <row r="302" spans="1:26" s="188" customFormat="1" ht="15.75" hidden="1">
      <c r="A302" s="161" t="s">
        <v>437</v>
      </c>
      <c r="B302" s="259" t="s">
        <v>418</v>
      </c>
      <c r="D302" s="162"/>
      <c r="E302" s="164">
        <v>0</v>
      </c>
      <c r="F302" s="162"/>
      <c r="G302" s="165">
        <v>0</v>
      </c>
      <c r="H302" s="165"/>
      <c r="I302" s="165">
        <v>0</v>
      </c>
      <c r="J302" s="165"/>
      <c r="K302" s="165">
        <v>0</v>
      </c>
      <c r="L302" s="165"/>
      <c r="M302" s="165">
        <v>0</v>
      </c>
      <c r="N302" s="165">
        <v>0</v>
      </c>
      <c r="O302" s="164">
        <v>0</v>
      </c>
      <c r="P302" s="164">
        <v>0</v>
      </c>
      <c r="Q302" s="165">
        <v>0</v>
      </c>
      <c r="R302" s="253">
        <f t="shared" ref="R302:R309" si="47">+J302/9*12</f>
        <v>0</v>
      </c>
      <c r="S302" s="165">
        <f t="shared" ref="S302:S310" si="48">Q302</f>
        <v>0</v>
      </c>
      <c r="T302" s="165"/>
      <c r="U302" s="165">
        <f t="shared" ref="U302:U310" si="49">S302</f>
        <v>0</v>
      </c>
      <c r="V302" s="181"/>
      <c r="W302" s="180"/>
      <c r="X302" s="160"/>
    </row>
    <row r="303" spans="1:26" s="188" customFormat="1" ht="15.75" hidden="1">
      <c r="A303" s="161" t="s">
        <v>207</v>
      </c>
      <c r="B303" s="160" t="s">
        <v>105</v>
      </c>
      <c r="D303" s="162"/>
      <c r="E303" s="164">
        <v>0</v>
      </c>
      <c r="F303" s="162"/>
      <c r="G303" s="165">
        <v>0</v>
      </c>
      <c r="H303" s="165"/>
      <c r="I303" s="165">
        <v>0</v>
      </c>
      <c r="J303" s="165"/>
      <c r="K303" s="165">
        <v>0</v>
      </c>
      <c r="L303" s="165"/>
      <c r="M303" s="165">
        <v>0</v>
      </c>
      <c r="N303" s="165">
        <v>0</v>
      </c>
      <c r="O303" s="164">
        <v>0</v>
      </c>
      <c r="P303" s="164">
        <v>0</v>
      </c>
      <c r="Q303" s="165">
        <v>0</v>
      </c>
      <c r="R303" s="253">
        <f t="shared" si="47"/>
        <v>0</v>
      </c>
      <c r="S303" s="165">
        <f t="shared" si="48"/>
        <v>0</v>
      </c>
      <c r="T303" s="165"/>
      <c r="U303" s="165">
        <f t="shared" si="49"/>
        <v>0</v>
      </c>
      <c r="V303" s="181"/>
      <c r="W303" s="180"/>
      <c r="X303" s="160"/>
    </row>
    <row r="304" spans="1:26" s="188" customFormat="1" ht="15.75" hidden="1">
      <c r="A304" s="161" t="s">
        <v>208</v>
      </c>
      <c r="B304" s="160" t="s">
        <v>67</v>
      </c>
      <c r="D304" s="162"/>
      <c r="E304" s="164">
        <v>0</v>
      </c>
      <c r="F304" s="162"/>
      <c r="G304" s="165">
        <v>0</v>
      </c>
      <c r="H304" s="165"/>
      <c r="I304" s="165">
        <v>0</v>
      </c>
      <c r="J304" s="165"/>
      <c r="K304" s="165">
        <v>0</v>
      </c>
      <c r="L304" s="165"/>
      <c r="M304" s="165">
        <v>0</v>
      </c>
      <c r="N304" s="165">
        <v>0</v>
      </c>
      <c r="O304" s="164">
        <v>0</v>
      </c>
      <c r="P304" s="164">
        <v>0</v>
      </c>
      <c r="Q304" s="165">
        <v>0</v>
      </c>
      <c r="R304" s="253">
        <f t="shared" si="47"/>
        <v>0</v>
      </c>
      <c r="S304" s="165">
        <f t="shared" si="48"/>
        <v>0</v>
      </c>
      <c r="T304" s="165"/>
      <c r="U304" s="165">
        <f t="shared" si="49"/>
        <v>0</v>
      </c>
      <c r="V304" s="181"/>
      <c r="W304" s="180"/>
      <c r="X304" s="160"/>
    </row>
    <row r="305" spans="1:60" s="188" customFormat="1" ht="15.75" hidden="1">
      <c r="A305" s="161" t="s">
        <v>209</v>
      </c>
      <c r="B305" s="160" t="s">
        <v>68</v>
      </c>
      <c r="D305" s="162"/>
      <c r="E305" s="164">
        <v>0</v>
      </c>
      <c r="F305" s="162"/>
      <c r="G305" s="165">
        <v>0</v>
      </c>
      <c r="H305" s="165"/>
      <c r="I305" s="165">
        <v>0</v>
      </c>
      <c r="J305" s="165"/>
      <c r="K305" s="165">
        <v>0</v>
      </c>
      <c r="L305" s="165"/>
      <c r="M305" s="165">
        <v>0</v>
      </c>
      <c r="N305" s="165">
        <v>0</v>
      </c>
      <c r="O305" s="164">
        <v>0</v>
      </c>
      <c r="P305" s="164">
        <v>0</v>
      </c>
      <c r="Q305" s="165">
        <v>0</v>
      </c>
      <c r="R305" s="253">
        <f t="shared" si="47"/>
        <v>0</v>
      </c>
      <c r="S305" s="165">
        <f t="shared" si="48"/>
        <v>0</v>
      </c>
      <c r="T305" s="165"/>
      <c r="U305" s="165">
        <f t="shared" si="49"/>
        <v>0</v>
      </c>
      <c r="V305" s="181"/>
      <c r="W305" s="180"/>
      <c r="X305" s="160"/>
    </row>
    <row r="306" spans="1:60" s="188" customFormat="1" ht="15.75" hidden="1">
      <c r="A306" s="161" t="s">
        <v>210</v>
      </c>
      <c r="B306" s="160" t="s">
        <v>69</v>
      </c>
      <c r="D306" s="162"/>
      <c r="E306" s="164">
        <v>0</v>
      </c>
      <c r="F306" s="162"/>
      <c r="G306" s="165">
        <v>0</v>
      </c>
      <c r="H306" s="165"/>
      <c r="I306" s="165">
        <v>0</v>
      </c>
      <c r="J306" s="165"/>
      <c r="K306" s="165">
        <v>0</v>
      </c>
      <c r="L306" s="165"/>
      <c r="M306" s="165">
        <v>0</v>
      </c>
      <c r="N306" s="165">
        <v>0</v>
      </c>
      <c r="O306" s="164">
        <v>0</v>
      </c>
      <c r="P306" s="164">
        <v>0</v>
      </c>
      <c r="Q306" s="165">
        <v>0</v>
      </c>
      <c r="R306" s="253">
        <f t="shared" si="47"/>
        <v>0</v>
      </c>
      <c r="S306" s="165">
        <f t="shared" si="48"/>
        <v>0</v>
      </c>
      <c r="T306" s="165"/>
      <c r="U306" s="165">
        <f t="shared" si="49"/>
        <v>0</v>
      </c>
      <c r="V306" s="181"/>
      <c r="W306" s="180"/>
      <c r="X306" s="160"/>
    </row>
    <row r="307" spans="1:60" s="188" customFormat="1" ht="15.75" hidden="1">
      <c r="A307" s="161" t="s">
        <v>211</v>
      </c>
      <c r="B307" s="160" t="s">
        <v>70</v>
      </c>
      <c r="D307" s="162"/>
      <c r="E307" s="164">
        <v>0</v>
      </c>
      <c r="F307" s="162"/>
      <c r="G307" s="165">
        <v>0</v>
      </c>
      <c r="H307" s="165"/>
      <c r="I307" s="165">
        <v>0</v>
      </c>
      <c r="J307" s="165"/>
      <c r="K307" s="165">
        <v>0</v>
      </c>
      <c r="L307" s="165"/>
      <c r="M307" s="165">
        <v>0</v>
      </c>
      <c r="N307" s="165">
        <v>0</v>
      </c>
      <c r="O307" s="164">
        <v>0</v>
      </c>
      <c r="P307" s="164">
        <v>0</v>
      </c>
      <c r="Q307" s="165">
        <v>0</v>
      </c>
      <c r="R307" s="253">
        <f t="shared" si="47"/>
        <v>0</v>
      </c>
      <c r="S307" s="165">
        <f t="shared" si="48"/>
        <v>0</v>
      </c>
      <c r="T307" s="165"/>
      <c r="U307" s="165">
        <f t="shared" si="49"/>
        <v>0</v>
      </c>
      <c r="V307" s="181"/>
      <c r="W307" s="180"/>
      <c r="X307" s="160"/>
    </row>
    <row r="308" spans="1:60" s="188" customFormat="1" ht="15.75" hidden="1">
      <c r="A308" s="161" t="s">
        <v>212</v>
      </c>
      <c r="B308" s="160" t="s">
        <v>106</v>
      </c>
      <c r="D308" s="179"/>
      <c r="E308" s="164">
        <v>0</v>
      </c>
      <c r="F308" s="179"/>
      <c r="G308" s="165">
        <v>0</v>
      </c>
      <c r="H308" s="253"/>
      <c r="I308" s="165">
        <v>0</v>
      </c>
      <c r="J308" s="253"/>
      <c r="K308" s="165">
        <v>0</v>
      </c>
      <c r="L308" s="253"/>
      <c r="M308" s="165">
        <v>0</v>
      </c>
      <c r="N308" s="165">
        <v>0</v>
      </c>
      <c r="O308" s="164">
        <v>0</v>
      </c>
      <c r="P308" s="164">
        <v>0</v>
      </c>
      <c r="Q308" s="165">
        <v>0</v>
      </c>
      <c r="R308" s="253">
        <f t="shared" si="47"/>
        <v>0</v>
      </c>
      <c r="S308" s="165">
        <f t="shared" si="48"/>
        <v>0</v>
      </c>
      <c r="T308" s="253"/>
      <c r="U308" s="165">
        <f t="shared" si="49"/>
        <v>0</v>
      </c>
      <c r="V308" s="181"/>
      <c r="W308" s="180"/>
      <c r="X308" s="160"/>
    </row>
    <row r="309" spans="1:60" s="188" customFormat="1" ht="15.75" hidden="1">
      <c r="A309" s="161" t="s">
        <v>371</v>
      </c>
      <c r="B309" s="160" t="s">
        <v>392</v>
      </c>
      <c r="D309" s="179"/>
      <c r="E309" s="164">
        <v>0</v>
      </c>
      <c r="F309" s="179"/>
      <c r="G309" s="165">
        <v>0</v>
      </c>
      <c r="H309" s="253"/>
      <c r="I309" s="165">
        <v>0</v>
      </c>
      <c r="J309" s="253"/>
      <c r="K309" s="165">
        <v>0</v>
      </c>
      <c r="L309" s="253"/>
      <c r="M309" s="165">
        <v>0</v>
      </c>
      <c r="N309" s="165">
        <v>0</v>
      </c>
      <c r="O309" s="164">
        <v>0</v>
      </c>
      <c r="P309" s="164">
        <v>0</v>
      </c>
      <c r="Q309" s="165">
        <v>0</v>
      </c>
      <c r="R309" s="253">
        <f t="shared" si="47"/>
        <v>0</v>
      </c>
      <c r="S309" s="165">
        <f t="shared" si="48"/>
        <v>0</v>
      </c>
      <c r="T309" s="253"/>
      <c r="U309" s="165">
        <f t="shared" si="49"/>
        <v>0</v>
      </c>
      <c r="V309" s="181"/>
      <c r="W309" s="180"/>
      <c r="X309" s="160"/>
    </row>
    <row r="310" spans="1:60" s="188" customFormat="1" ht="15.75" hidden="1">
      <c r="B310" s="172" t="s">
        <v>470</v>
      </c>
      <c r="C310" s="161"/>
      <c r="D310" s="162"/>
      <c r="E310" s="391">
        <f>SUM(E302:E309)</f>
        <v>0</v>
      </c>
      <c r="F310" s="162"/>
      <c r="G310" s="193">
        <f>SUM(G302:G309)</f>
        <v>0</v>
      </c>
      <c r="H310" s="165"/>
      <c r="I310" s="193">
        <f>SUM(I302:I309)</f>
        <v>0</v>
      </c>
      <c r="J310" s="165"/>
      <c r="K310" s="193">
        <f>SUM(K302:K309)</f>
        <v>0</v>
      </c>
      <c r="L310" s="165"/>
      <c r="M310" s="193">
        <f>SUM(M302:M309)</f>
        <v>0</v>
      </c>
      <c r="N310" s="193">
        <f>SUM(N302:N309)</f>
        <v>0</v>
      </c>
      <c r="O310" s="391">
        <f>SUM(O302:O309)</f>
        <v>0</v>
      </c>
      <c r="P310" s="391">
        <f>SUM(P302:P309)</f>
        <v>0</v>
      </c>
      <c r="Q310" s="165">
        <v>0</v>
      </c>
      <c r="R310" s="193">
        <f>SUM(R302:R309)</f>
        <v>0</v>
      </c>
      <c r="S310" s="165">
        <f t="shared" si="48"/>
        <v>0</v>
      </c>
      <c r="T310" s="165"/>
      <c r="U310" s="165">
        <f t="shared" si="49"/>
        <v>0</v>
      </c>
      <c r="V310" s="181"/>
      <c r="W310" s="180"/>
      <c r="X310" s="160"/>
      <c r="Y310" s="160"/>
      <c r="AA310" s="160"/>
      <c r="AB310" s="160"/>
      <c r="AC310" s="160"/>
      <c r="AD310" s="160"/>
      <c r="AE310" s="160"/>
      <c r="AF310" s="160"/>
      <c r="AG310" s="160"/>
      <c r="AH310" s="160"/>
      <c r="AI310" s="160"/>
      <c r="AJ310" s="160"/>
      <c r="AK310" s="160"/>
      <c r="AL310" s="160"/>
      <c r="AM310" s="160"/>
      <c r="AN310" s="160"/>
      <c r="AO310" s="160"/>
      <c r="AP310" s="160"/>
      <c r="AQ310" s="160"/>
      <c r="AR310" s="160"/>
      <c r="AS310" s="160"/>
      <c r="AT310" s="160"/>
      <c r="AU310" s="160"/>
      <c r="AV310" s="160"/>
      <c r="AW310" s="160"/>
      <c r="AX310" s="160"/>
      <c r="AY310" s="160"/>
      <c r="AZ310" s="160"/>
      <c r="BA310" s="160"/>
      <c r="BB310" s="160"/>
      <c r="BC310" s="160"/>
      <c r="BD310" s="160"/>
      <c r="BE310" s="160"/>
      <c r="BF310" s="160"/>
      <c r="BG310" s="160"/>
      <c r="BH310" s="160"/>
    </row>
    <row r="311" spans="1:60" ht="15.75" hidden="1">
      <c r="B311" s="259"/>
      <c r="C311" s="161"/>
      <c r="D311" s="179"/>
      <c r="F311" s="179"/>
      <c r="G311" s="165"/>
      <c r="H311" s="253"/>
      <c r="I311" s="165"/>
      <c r="J311" s="253"/>
      <c r="K311" s="165"/>
      <c r="L311" s="253"/>
      <c r="M311" s="165"/>
      <c r="N311" s="165"/>
      <c r="R311" s="253"/>
      <c r="T311" s="253"/>
      <c r="W311" s="180"/>
      <c r="X311" s="188"/>
      <c r="Y311" s="188"/>
      <c r="AA311" s="188"/>
      <c r="AB311" s="188"/>
      <c r="AC311" s="188"/>
      <c r="AD311" s="188"/>
      <c r="AE311" s="188"/>
      <c r="AF311" s="188"/>
      <c r="AG311" s="188"/>
      <c r="AH311" s="188"/>
      <c r="AI311" s="188"/>
      <c r="AJ311" s="188"/>
      <c r="AK311" s="188"/>
      <c r="AL311" s="188"/>
      <c r="AM311" s="188"/>
      <c r="AN311" s="188"/>
      <c r="AO311" s="188"/>
      <c r="AP311" s="188"/>
      <c r="AQ311" s="188"/>
      <c r="AR311" s="188"/>
      <c r="AS311" s="188"/>
      <c r="AT311" s="188"/>
      <c r="AU311" s="188"/>
      <c r="AV311" s="188"/>
      <c r="AW311" s="188"/>
      <c r="AX311" s="188"/>
      <c r="AY311" s="188"/>
      <c r="AZ311" s="188"/>
      <c r="BA311" s="188"/>
      <c r="BB311" s="188"/>
      <c r="BC311" s="188"/>
      <c r="BD311" s="188"/>
      <c r="BE311" s="188"/>
      <c r="BF311" s="188"/>
      <c r="BG311" s="188"/>
      <c r="BH311" s="188"/>
    </row>
    <row r="312" spans="1:60" ht="15.75" hidden="1">
      <c r="B312" s="262" t="s">
        <v>60</v>
      </c>
      <c r="C312" s="161"/>
      <c r="E312" s="391"/>
      <c r="G312" s="193"/>
      <c r="H312" s="165"/>
      <c r="I312" s="193"/>
      <c r="J312" s="165"/>
      <c r="K312" s="193"/>
      <c r="L312" s="165"/>
      <c r="M312" s="193"/>
      <c r="N312" s="193"/>
      <c r="O312" s="391"/>
      <c r="P312" s="391"/>
      <c r="R312" s="253"/>
      <c r="T312" s="165"/>
      <c r="W312" s="180"/>
    </row>
    <row r="313" spans="1:60" ht="15.75" hidden="1">
      <c r="A313" s="161" t="s">
        <v>438</v>
      </c>
      <c r="B313" s="161" t="s">
        <v>440</v>
      </c>
      <c r="C313" s="160"/>
      <c r="D313" s="292"/>
      <c r="E313" s="400">
        <v>0</v>
      </c>
      <c r="F313" s="292"/>
      <c r="G313" s="253">
        <v>0</v>
      </c>
      <c r="H313" s="193"/>
      <c r="I313" s="253">
        <v>0</v>
      </c>
      <c r="J313" s="193"/>
      <c r="K313" s="253">
        <v>0</v>
      </c>
      <c r="L313" s="193"/>
      <c r="M313" s="253">
        <v>0</v>
      </c>
      <c r="N313" s="253">
        <v>0</v>
      </c>
      <c r="O313" s="400">
        <v>0</v>
      </c>
      <c r="P313" s="400">
        <v>0</v>
      </c>
      <c r="Q313" s="178">
        <v>0</v>
      </c>
      <c r="R313" s="253"/>
      <c r="S313" s="178">
        <v>0</v>
      </c>
      <c r="T313" s="193"/>
      <c r="U313" s="178">
        <v>0</v>
      </c>
      <c r="W313" s="180"/>
    </row>
    <row r="314" spans="1:60" hidden="1">
      <c r="A314" s="161" t="s">
        <v>439</v>
      </c>
      <c r="B314" s="161" t="s">
        <v>488</v>
      </c>
      <c r="C314" s="160"/>
      <c r="E314" s="400">
        <v>0</v>
      </c>
      <c r="G314" s="253">
        <v>0</v>
      </c>
      <c r="H314" s="165"/>
      <c r="I314" s="253">
        <v>0</v>
      </c>
      <c r="J314" s="165"/>
      <c r="K314" s="253">
        <v>0</v>
      </c>
      <c r="L314" s="165"/>
      <c r="M314" s="253">
        <v>0</v>
      </c>
      <c r="N314" s="253">
        <v>0</v>
      </c>
      <c r="O314" s="400">
        <v>0</v>
      </c>
      <c r="P314" s="400">
        <v>0</v>
      </c>
      <c r="Q314" s="178">
        <v>0</v>
      </c>
      <c r="R314" s="253"/>
      <c r="S314" s="178">
        <f>Q314</f>
        <v>0</v>
      </c>
      <c r="T314" s="165"/>
      <c r="U314" s="178">
        <f>S314</f>
        <v>0</v>
      </c>
      <c r="W314" s="180"/>
    </row>
    <row r="315" spans="1:60" hidden="1">
      <c r="A315" s="161" t="s">
        <v>213</v>
      </c>
      <c r="B315" s="161" t="s">
        <v>77</v>
      </c>
      <c r="C315" s="160"/>
      <c r="E315" s="400">
        <v>0</v>
      </c>
      <c r="G315" s="253">
        <v>0</v>
      </c>
      <c r="H315" s="165"/>
      <c r="I315" s="253">
        <v>0</v>
      </c>
      <c r="J315" s="165"/>
      <c r="K315" s="253">
        <v>0</v>
      </c>
      <c r="L315" s="165"/>
      <c r="M315" s="253">
        <v>0</v>
      </c>
      <c r="N315" s="253">
        <v>0</v>
      </c>
      <c r="O315" s="400">
        <v>0</v>
      </c>
      <c r="P315" s="400">
        <v>0</v>
      </c>
      <c r="Q315" s="178">
        <v>0</v>
      </c>
      <c r="R315" s="253"/>
      <c r="S315" s="178">
        <v>0</v>
      </c>
      <c r="T315" s="165"/>
      <c r="U315" s="178">
        <v>0</v>
      </c>
      <c r="W315" s="180"/>
    </row>
    <row r="316" spans="1:60" hidden="1">
      <c r="A316" s="161" t="s">
        <v>587</v>
      </c>
      <c r="B316" s="161" t="s">
        <v>372</v>
      </c>
      <c r="C316" s="160"/>
      <c r="E316" s="400">
        <v>0</v>
      </c>
      <c r="G316" s="253">
        <v>0</v>
      </c>
      <c r="H316" s="165"/>
      <c r="I316" s="253">
        <v>0</v>
      </c>
      <c r="J316" s="165"/>
      <c r="K316" s="253">
        <v>0</v>
      </c>
      <c r="L316" s="165"/>
      <c r="M316" s="253">
        <v>0</v>
      </c>
      <c r="N316" s="253">
        <v>0</v>
      </c>
      <c r="O316" s="400">
        <v>0</v>
      </c>
      <c r="P316" s="400">
        <v>0</v>
      </c>
      <c r="Q316" s="178">
        <v>0</v>
      </c>
      <c r="R316" s="253"/>
      <c r="S316" s="178">
        <v>0</v>
      </c>
      <c r="T316" s="165"/>
      <c r="U316" s="178">
        <v>0</v>
      </c>
      <c r="W316" s="180"/>
    </row>
    <row r="317" spans="1:60" hidden="1">
      <c r="A317" s="161" t="s">
        <v>588</v>
      </c>
      <c r="B317" s="161" t="s">
        <v>589</v>
      </c>
      <c r="C317" s="160"/>
      <c r="E317" s="164">
        <v>0</v>
      </c>
      <c r="G317" s="165">
        <v>0</v>
      </c>
      <c r="H317" s="165"/>
      <c r="I317" s="165">
        <v>0</v>
      </c>
      <c r="J317" s="165"/>
      <c r="K317" s="165">
        <v>0</v>
      </c>
      <c r="L317" s="165"/>
      <c r="M317" s="165">
        <v>0</v>
      </c>
      <c r="N317" s="165">
        <v>0</v>
      </c>
      <c r="O317" s="164">
        <v>0</v>
      </c>
      <c r="P317" s="164">
        <v>0</v>
      </c>
      <c r="Q317" s="178"/>
      <c r="R317" s="253"/>
      <c r="S317" s="178"/>
      <c r="T317" s="165"/>
      <c r="U317" s="178"/>
      <c r="W317" s="180"/>
    </row>
    <row r="318" spans="1:60" ht="15.75" hidden="1">
      <c r="B318" s="172" t="s">
        <v>470</v>
      </c>
      <c r="C318" s="161"/>
      <c r="E318" s="391">
        <f>SUM(E313:E317)</f>
        <v>0</v>
      </c>
      <c r="G318" s="193">
        <f>SUM(G313:G317)</f>
        <v>0</v>
      </c>
      <c r="H318" s="165"/>
      <c r="I318" s="193">
        <f>SUM(I313:I317)</f>
        <v>0</v>
      </c>
      <c r="J318" s="165"/>
      <c r="K318" s="193">
        <f>SUM(K313:K317)</f>
        <v>0</v>
      </c>
      <c r="L318" s="165"/>
      <c r="M318" s="193">
        <f>SUM(M313:M317)</f>
        <v>0</v>
      </c>
      <c r="N318" s="193">
        <f>SUM(N313:N317)</f>
        <v>0</v>
      </c>
      <c r="O318" s="391">
        <f>SUM(O313:O317)</f>
        <v>0</v>
      </c>
      <c r="P318" s="391">
        <f>SUM(P313:P317)</f>
        <v>0</v>
      </c>
      <c r="Q318" s="193">
        <v>0</v>
      </c>
      <c r="R318" s="193">
        <f>SUM(R313:R316)</f>
        <v>0</v>
      </c>
      <c r="S318" s="193">
        <f>SUM(S313:S316)</f>
        <v>0</v>
      </c>
      <c r="T318" s="165"/>
      <c r="U318" s="193">
        <f>SUM(U313:U316)</f>
        <v>0</v>
      </c>
      <c r="W318" s="180"/>
    </row>
    <row r="319" spans="1:60" hidden="1">
      <c r="B319" s="401"/>
      <c r="C319" s="161"/>
      <c r="G319" s="165"/>
      <c r="H319" s="165"/>
      <c r="I319" s="165"/>
      <c r="J319" s="165"/>
      <c r="K319" s="165"/>
      <c r="L319" s="165"/>
      <c r="M319" s="165"/>
      <c r="N319" s="165"/>
      <c r="R319" s="253"/>
      <c r="T319" s="165"/>
      <c r="W319" s="180"/>
    </row>
    <row r="320" spans="1:60" ht="15.75">
      <c r="A320" s="423" t="s">
        <v>1374</v>
      </c>
      <c r="B320" s="423"/>
      <c r="C320" s="423"/>
      <c r="G320" s="165"/>
      <c r="H320" s="165"/>
      <c r="I320" s="165"/>
      <c r="J320" s="165"/>
      <c r="K320" s="165"/>
      <c r="L320" s="165"/>
      <c r="M320" s="165"/>
      <c r="N320" s="165"/>
      <c r="R320" s="253"/>
      <c r="T320" s="165"/>
      <c r="W320" s="180"/>
    </row>
    <row r="321" spans="1:23">
      <c r="A321" s="161" t="s">
        <v>728</v>
      </c>
      <c r="B321" s="160" t="s">
        <v>604</v>
      </c>
      <c r="C321" s="160"/>
      <c r="D321" s="253"/>
      <c r="E321" s="165">
        <v>0</v>
      </c>
      <c r="F321" s="253"/>
      <c r="G321" s="165">
        <v>124.64</v>
      </c>
      <c r="H321" s="253"/>
      <c r="I321" s="165">
        <v>1750.84</v>
      </c>
      <c r="J321" s="253"/>
      <c r="K321" s="165">
        <v>766</v>
      </c>
      <c r="L321" s="253"/>
      <c r="M321" s="165">
        <v>931.13</v>
      </c>
      <c r="N321" s="165">
        <v>836.88</v>
      </c>
      <c r="O321" s="162">
        <v>1606.06</v>
      </c>
      <c r="P321" s="162">
        <v>2110.48</v>
      </c>
      <c r="Q321" s="165">
        <v>2200</v>
      </c>
      <c r="R321" s="165"/>
      <c r="S321" s="165">
        <v>1413.54</v>
      </c>
      <c r="T321" s="253"/>
      <c r="U321" s="165">
        <v>2000</v>
      </c>
      <c r="V321" s="181">
        <f t="shared" ref="V321:V329" si="50">(U321-Q321)/Q321</f>
        <v>-9.0909090909090912E-2</v>
      </c>
      <c r="W321" s="180">
        <f t="shared" ref="W321:W330" si="51">S321-Q321</f>
        <v>-786.46</v>
      </c>
    </row>
    <row r="322" spans="1:23">
      <c r="A322" s="161" t="s">
        <v>528</v>
      </c>
      <c r="B322" s="160" t="s">
        <v>411</v>
      </c>
      <c r="C322" s="160"/>
      <c r="D322" s="253"/>
      <c r="E322" s="165">
        <v>5213</v>
      </c>
      <c r="F322" s="253"/>
      <c r="G322" s="165">
        <v>5422</v>
      </c>
      <c r="H322" s="253"/>
      <c r="I322" s="165">
        <v>5422</v>
      </c>
      <c r="J322" s="253"/>
      <c r="K322" s="165">
        <v>5422</v>
      </c>
      <c r="L322" s="253"/>
      <c r="M322" s="165">
        <v>5422</v>
      </c>
      <c r="N322" s="165">
        <v>5422</v>
      </c>
      <c r="O322" s="162">
        <v>8422</v>
      </c>
      <c r="P322" s="162">
        <v>9275</v>
      </c>
      <c r="Q322" s="165">
        <v>10000</v>
      </c>
      <c r="R322" s="165"/>
      <c r="S322" s="165">
        <v>10000</v>
      </c>
      <c r="T322" s="253"/>
      <c r="U322" s="165">
        <v>10000</v>
      </c>
      <c r="V322" s="181">
        <f t="shared" si="50"/>
        <v>0</v>
      </c>
      <c r="W322" s="180">
        <f t="shared" si="51"/>
        <v>0</v>
      </c>
    </row>
    <row r="323" spans="1:23">
      <c r="A323" s="161" t="s">
        <v>529</v>
      </c>
      <c r="B323" s="160" t="s">
        <v>413</v>
      </c>
      <c r="C323" s="160"/>
      <c r="D323" s="165"/>
      <c r="E323" s="165">
        <v>16000</v>
      </c>
      <c r="F323" s="165"/>
      <c r="G323" s="165">
        <v>18000</v>
      </c>
      <c r="H323" s="165"/>
      <c r="I323" s="165">
        <v>21000</v>
      </c>
      <c r="J323" s="165"/>
      <c r="K323" s="165">
        <v>24000</v>
      </c>
      <c r="L323" s="165"/>
      <c r="M323" s="165">
        <v>24000</v>
      </c>
      <c r="N323" s="165">
        <v>27000</v>
      </c>
      <c r="O323" s="162">
        <v>40000</v>
      </c>
      <c r="P323" s="162">
        <v>115000</v>
      </c>
      <c r="Q323" s="165">
        <v>115000</v>
      </c>
      <c r="R323" s="165"/>
      <c r="S323" s="165">
        <v>115000</v>
      </c>
      <c r="T323" s="165"/>
      <c r="U323" s="165">
        <v>151000</v>
      </c>
      <c r="V323" s="181">
        <f t="shared" si="50"/>
        <v>0.31304347826086959</v>
      </c>
      <c r="W323" s="180">
        <f t="shared" si="51"/>
        <v>0</v>
      </c>
    </row>
    <row r="324" spans="1:23">
      <c r="A324" s="161" t="s">
        <v>530</v>
      </c>
      <c r="B324" s="160" t="s">
        <v>369</v>
      </c>
      <c r="C324" s="160"/>
      <c r="D324" s="165"/>
      <c r="E324" s="165">
        <v>447</v>
      </c>
      <c r="F324" s="165"/>
      <c r="G324" s="165">
        <v>467.19</v>
      </c>
      <c r="H324" s="165"/>
      <c r="I324" s="165">
        <v>476.19</v>
      </c>
      <c r="J324" s="165"/>
      <c r="K324" s="165">
        <v>491.04</v>
      </c>
      <c r="L324" s="165"/>
      <c r="M324" s="165">
        <v>489.95</v>
      </c>
      <c r="N324" s="165">
        <v>410.73</v>
      </c>
      <c r="O324" s="162">
        <v>456.73</v>
      </c>
      <c r="P324" s="162">
        <v>456</v>
      </c>
      <c r="Q324" s="165">
        <v>1250</v>
      </c>
      <c r="R324" s="165"/>
      <c r="S324" s="165">
        <v>1250</v>
      </c>
      <c r="T324" s="165"/>
      <c r="U324" s="165">
        <v>1250</v>
      </c>
      <c r="V324" s="181">
        <f t="shared" si="50"/>
        <v>0</v>
      </c>
      <c r="W324" s="180">
        <f t="shared" si="51"/>
        <v>0</v>
      </c>
    </row>
    <row r="325" spans="1:23">
      <c r="A325" s="161" t="s">
        <v>1252</v>
      </c>
      <c r="B325" s="160" t="s">
        <v>777</v>
      </c>
      <c r="C325" s="160"/>
      <c r="D325" s="165"/>
      <c r="E325" s="165"/>
      <c r="F325" s="165"/>
      <c r="G325" s="165"/>
      <c r="H325" s="165"/>
      <c r="I325" s="165"/>
      <c r="J325" s="165"/>
      <c r="K325" s="165"/>
      <c r="L325" s="165"/>
      <c r="M325" s="165"/>
      <c r="N325" s="165"/>
      <c r="O325" s="162"/>
      <c r="P325" s="162">
        <v>254.64</v>
      </c>
      <c r="Q325" s="165">
        <v>260</v>
      </c>
      <c r="R325" s="165"/>
      <c r="S325" s="165">
        <v>280</v>
      </c>
      <c r="T325" s="165"/>
      <c r="U325" s="165">
        <v>318</v>
      </c>
      <c r="V325" s="181">
        <f t="shared" si="50"/>
        <v>0.22307692307692309</v>
      </c>
      <c r="W325" s="180">
        <f t="shared" si="51"/>
        <v>20</v>
      </c>
    </row>
    <row r="326" spans="1:23">
      <c r="A326" s="161" t="s">
        <v>1210</v>
      </c>
      <c r="B326" s="160" t="s">
        <v>1209</v>
      </c>
      <c r="C326" s="160"/>
      <c r="D326" s="165"/>
      <c r="E326" s="165">
        <v>8209</v>
      </c>
      <c r="F326" s="165"/>
      <c r="G326" s="165">
        <v>4418.7700000000004</v>
      </c>
      <c r="H326" s="165"/>
      <c r="I326" s="165">
        <v>11302.46</v>
      </c>
      <c r="J326" s="165"/>
      <c r="K326" s="165">
        <v>10856.11</v>
      </c>
      <c r="L326" s="165"/>
      <c r="M326" s="165">
        <v>1917</v>
      </c>
      <c r="N326" s="165">
        <v>3679</v>
      </c>
      <c r="O326" s="162">
        <v>6867.25</v>
      </c>
      <c r="P326" s="162">
        <v>8331.64</v>
      </c>
      <c r="Q326" s="162">
        <v>10000</v>
      </c>
      <c r="R326" s="165"/>
      <c r="S326" s="165">
        <v>10000</v>
      </c>
      <c r="T326" s="165"/>
      <c r="U326" s="178">
        <v>10000</v>
      </c>
      <c r="V326" s="181">
        <f t="shared" si="50"/>
        <v>0</v>
      </c>
      <c r="W326" s="180">
        <f t="shared" si="51"/>
        <v>0</v>
      </c>
    </row>
    <row r="327" spans="1:23" hidden="1">
      <c r="A327" s="161" t="s">
        <v>1237</v>
      </c>
      <c r="B327" s="160" t="s">
        <v>1221</v>
      </c>
      <c r="C327" s="160"/>
      <c r="D327" s="165"/>
      <c r="E327" s="165"/>
      <c r="F327" s="165"/>
      <c r="G327" s="165"/>
      <c r="H327" s="165"/>
      <c r="I327" s="165"/>
      <c r="J327" s="165"/>
      <c r="K327" s="165"/>
      <c r="L327" s="165"/>
      <c r="M327" s="165"/>
      <c r="N327" s="165"/>
      <c r="O327" s="162"/>
      <c r="P327" s="162"/>
      <c r="Q327" s="162"/>
      <c r="R327" s="162"/>
      <c r="S327" s="162"/>
      <c r="T327" s="165"/>
      <c r="U327" s="178"/>
      <c r="V327" s="181">
        <v>0</v>
      </c>
      <c r="W327" s="180">
        <f t="shared" si="51"/>
        <v>0</v>
      </c>
    </row>
    <row r="328" spans="1:23">
      <c r="A328" s="160" t="s">
        <v>531</v>
      </c>
      <c r="B328" s="160" t="s">
        <v>388</v>
      </c>
      <c r="C328" s="160"/>
      <c r="D328" s="165"/>
      <c r="E328" s="165">
        <v>3988</v>
      </c>
      <c r="F328" s="165"/>
      <c r="G328" s="165">
        <v>326</v>
      </c>
      <c r="H328" s="165"/>
      <c r="I328" s="165">
        <v>326</v>
      </c>
      <c r="J328" s="165"/>
      <c r="K328" s="165">
        <v>342</v>
      </c>
      <c r="L328" s="165"/>
      <c r="M328" s="165">
        <v>359</v>
      </c>
      <c r="N328" s="165">
        <v>375</v>
      </c>
      <c r="O328" s="162">
        <v>1902</v>
      </c>
      <c r="P328" s="162">
        <v>13175.47</v>
      </c>
      <c r="Q328" s="165">
        <v>13250</v>
      </c>
      <c r="R328" s="165"/>
      <c r="S328" s="165">
        <v>13184.77</v>
      </c>
      <c r="T328" s="165"/>
      <c r="U328" s="165">
        <v>13250</v>
      </c>
      <c r="V328" s="181">
        <f t="shared" si="50"/>
        <v>0</v>
      </c>
      <c r="W328" s="180">
        <f t="shared" si="51"/>
        <v>-65.229999999999563</v>
      </c>
    </row>
    <row r="329" spans="1:23">
      <c r="A329" s="161" t="s">
        <v>532</v>
      </c>
      <c r="B329" s="160" t="s">
        <v>389</v>
      </c>
      <c r="C329" s="160"/>
      <c r="D329" s="165"/>
      <c r="E329" s="165">
        <v>3234</v>
      </c>
      <c r="F329" s="165"/>
      <c r="G329" s="165">
        <v>5547.92</v>
      </c>
      <c r="H329" s="165"/>
      <c r="I329" s="165">
        <v>5652.92</v>
      </c>
      <c r="J329" s="165"/>
      <c r="K329" s="165">
        <v>5316.8</v>
      </c>
      <c r="L329" s="165"/>
      <c r="M329" s="165">
        <v>7013.85</v>
      </c>
      <c r="N329" s="165">
        <v>5930.68</v>
      </c>
      <c r="O329" s="162">
        <v>10658.46</v>
      </c>
      <c r="P329" s="162">
        <v>26620.720000000001</v>
      </c>
      <c r="Q329" s="165">
        <v>27000</v>
      </c>
      <c r="R329" s="165"/>
      <c r="S329" s="165">
        <v>27974.3</v>
      </c>
      <c r="T329" s="165"/>
      <c r="U329" s="165">
        <v>28000</v>
      </c>
      <c r="V329" s="181">
        <f t="shared" si="50"/>
        <v>3.7037037037037035E-2</v>
      </c>
      <c r="W329" s="180">
        <f t="shared" si="51"/>
        <v>974.29999999999927</v>
      </c>
    </row>
    <row r="330" spans="1:23" ht="15.75">
      <c r="B330" s="172" t="s">
        <v>470</v>
      </c>
      <c r="C330" s="177"/>
      <c r="D330" s="332"/>
      <c r="E330" s="287">
        <f>SUM(E321:E329)</f>
        <v>37091</v>
      </c>
      <c r="F330" s="332"/>
      <c r="G330" s="287">
        <f>SUM(G321:G329)</f>
        <v>34306.519999999997</v>
      </c>
      <c r="H330" s="332"/>
      <c r="I330" s="287">
        <f>SUM(I321:I329)</f>
        <v>45930.409999999996</v>
      </c>
      <c r="J330" s="332"/>
      <c r="K330" s="287">
        <f>SUM(K321:K329)</f>
        <v>47193.950000000004</v>
      </c>
      <c r="L330" s="332"/>
      <c r="M330" s="287">
        <f t="shared" ref="M330:U330" si="52">SUM(M321:M329)</f>
        <v>40132.93</v>
      </c>
      <c r="N330" s="287">
        <f t="shared" si="52"/>
        <v>43654.29</v>
      </c>
      <c r="O330" s="285">
        <f t="shared" si="52"/>
        <v>69912.5</v>
      </c>
      <c r="P330" s="333">
        <f>SUM(P321:P329)</f>
        <v>175223.95</v>
      </c>
      <c r="Q330" s="333">
        <f>SUM(Q321:Q329)</f>
        <v>178960</v>
      </c>
      <c r="R330" s="242">
        <f t="shared" si="52"/>
        <v>0</v>
      </c>
      <c r="S330" s="242">
        <f t="shared" si="52"/>
        <v>179102.61</v>
      </c>
      <c r="T330" s="242">
        <f t="shared" si="52"/>
        <v>0</v>
      </c>
      <c r="U330" s="242">
        <f t="shared" si="52"/>
        <v>215818</v>
      </c>
      <c r="V330" s="384">
        <f>(U330-Q330)/Q330</f>
        <v>0.20595663835493966</v>
      </c>
      <c r="W330" s="192">
        <f t="shared" si="51"/>
        <v>142.60999999998603</v>
      </c>
    </row>
    <row r="331" spans="1:23" ht="15.75">
      <c r="B331" s="172"/>
      <c r="C331" s="177"/>
      <c r="D331" s="165"/>
      <c r="E331" s="193"/>
      <c r="F331" s="165"/>
      <c r="G331" s="193"/>
      <c r="H331" s="165"/>
      <c r="I331" s="193"/>
      <c r="J331" s="165"/>
      <c r="K331" s="193"/>
      <c r="L331" s="165"/>
      <c r="M331" s="193"/>
      <c r="N331" s="193"/>
      <c r="O331" s="292"/>
      <c r="P331" s="292"/>
      <c r="Q331" s="292"/>
      <c r="R331" s="193"/>
      <c r="S331" s="193"/>
      <c r="T331" s="193"/>
      <c r="U331" s="193"/>
      <c r="V331" s="394"/>
      <c r="W331" s="392"/>
    </row>
    <row r="332" spans="1:23" ht="15.75">
      <c r="A332" s="423" t="s">
        <v>1376</v>
      </c>
      <c r="B332" s="423"/>
      <c r="C332" s="423"/>
      <c r="D332" s="193"/>
      <c r="E332" s="165"/>
      <c r="F332" s="193"/>
      <c r="G332" s="165"/>
      <c r="H332" s="193"/>
      <c r="I332" s="165"/>
      <c r="J332" s="193"/>
      <c r="K332" s="165"/>
      <c r="L332" s="193"/>
      <c r="M332" s="165"/>
      <c r="N332" s="165"/>
      <c r="R332" s="253"/>
      <c r="T332" s="193"/>
      <c r="V332" s="394"/>
      <c r="W332" s="392"/>
    </row>
    <row r="333" spans="1:23" ht="15.75">
      <c r="A333" s="160" t="s">
        <v>1124</v>
      </c>
      <c r="B333" s="160" t="s">
        <v>1125</v>
      </c>
      <c r="C333" s="160"/>
      <c r="D333" s="165"/>
      <c r="E333" s="165">
        <v>0</v>
      </c>
      <c r="F333" s="165"/>
      <c r="G333" s="165">
        <v>0</v>
      </c>
      <c r="H333" s="165"/>
      <c r="I333" s="165">
        <v>1550</v>
      </c>
      <c r="J333" s="165"/>
      <c r="K333" s="165">
        <v>3050</v>
      </c>
      <c r="L333" s="165"/>
      <c r="M333" s="165">
        <v>0</v>
      </c>
      <c r="N333" s="165">
        <v>1550</v>
      </c>
      <c r="O333" s="162">
        <v>52327.4</v>
      </c>
      <c r="P333" s="162">
        <v>117825.28</v>
      </c>
      <c r="Q333" s="165">
        <v>110000</v>
      </c>
      <c r="R333" s="165"/>
      <c r="S333" s="165">
        <v>150000</v>
      </c>
      <c r="T333" s="165"/>
      <c r="U333" s="165">
        <v>150000</v>
      </c>
      <c r="V333" s="394"/>
      <c r="W333" s="392"/>
    </row>
    <row r="334" spans="1:23" ht="15.75" hidden="1">
      <c r="A334" s="160" t="s">
        <v>1410</v>
      </c>
      <c r="B334" s="160" t="s">
        <v>1411</v>
      </c>
      <c r="C334" s="160"/>
      <c r="D334" s="165"/>
      <c r="E334" s="165"/>
      <c r="F334" s="165"/>
      <c r="G334" s="165"/>
      <c r="H334" s="165"/>
      <c r="I334" s="165"/>
      <c r="J334" s="165"/>
      <c r="K334" s="165"/>
      <c r="L334" s="165"/>
      <c r="M334" s="165"/>
      <c r="N334" s="165"/>
      <c r="O334" s="162"/>
      <c r="P334" s="162"/>
      <c r="R334" s="165"/>
      <c r="T334" s="165"/>
      <c r="V334" s="394"/>
      <c r="W334" s="392"/>
    </row>
    <row r="335" spans="1:23" ht="15.75" hidden="1">
      <c r="A335" s="161" t="s">
        <v>1220</v>
      </c>
      <c r="B335" s="160" t="s">
        <v>178</v>
      </c>
      <c r="C335" s="160"/>
      <c r="D335" s="165"/>
      <c r="E335" s="165">
        <v>370</v>
      </c>
      <c r="F335" s="165"/>
      <c r="G335" s="165">
        <v>1104.74</v>
      </c>
      <c r="H335" s="165"/>
      <c r="I335" s="165">
        <v>1234.54</v>
      </c>
      <c r="J335" s="165"/>
      <c r="K335" s="165">
        <v>1021.04</v>
      </c>
      <c r="L335" s="165"/>
      <c r="M335" s="165">
        <v>1041.79</v>
      </c>
      <c r="N335" s="165">
        <v>885.84</v>
      </c>
      <c r="O335" s="162">
        <v>755.84</v>
      </c>
      <c r="P335" s="162"/>
      <c r="R335" s="165"/>
      <c r="T335" s="165"/>
      <c r="V335" s="394"/>
      <c r="W335" s="392"/>
    </row>
    <row r="336" spans="1:23" ht="15.75">
      <c r="A336" s="160" t="s">
        <v>533</v>
      </c>
      <c r="B336" s="160" t="s">
        <v>414</v>
      </c>
      <c r="C336" s="160"/>
      <c r="D336" s="165"/>
      <c r="E336" s="165">
        <v>0</v>
      </c>
      <c r="F336" s="165"/>
      <c r="G336" s="165">
        <v>0</v>
      </c>
      <c r="H336" s="165"/>
      <c r="I336" s="165">
        <v>1550</v>
      </c>
      <c r="J336" s="165"/>
      <c r="K336" s="165">
        <v>3050</v>
      </c>
      <c r="L336" s="165"/>
      <c r="M336" s="165">
        <v>0</v>
      </c>
      <c r="N336" s="165">
        <v>1550</v>
      </c>
      <c r="O336" s="162">
        <v>6850</v>
      </c>
      <c r="P336" s="162">
        <v>20497.849999999999</v>
      </c>
      <c r="Q336" s="165">
        <v>10000</v>
      </c>
      <c r="R336" s="165"/>
      <c r="S336" s="165">
        <v>10000</v>
      </c>
      <c r="T336" s="165"/>
      <c r="U336" s="165">
        <v>10000</v>
      </c>
      <c r="V336" s="394"/>
      <c r="W336" s="392"/>
    </row>
    <row r="337" spans="1:23" ht="15.75">
      <c r="A337" s="160" t="s">
        <v>534</v>
      </c>
      <c r="B337" s="160" t="s">
        <v>367</v>
      </c>
      <c r="C337" s="160"/>
      <c r="D337" s="165"/>
      <c r="E337" s="165">
        <v>21760</v>
      </c>
      <c r="F337" s="165"/>
      <c r="G337" s="165">
        <v>0</v>
      </c>
      <c r="H337" s="165"/>
      <c r="I337" s="165">
        <v>1022.5</v>
      </c>
      <c r="J337" s="165"/>
      <c r="K337" s="165">
        <v>1150</v>
      </c>
      <c r="L337" s="165"/>
      <c r="M337" s="165">
        <v>300</v>
      </c>
      <c r="N337" s="165">
        <v>13038.02</v>
      </c>
      <c r="O337" s="162">
        <v>0</v>
      </c>
      <c r="P337" s="162">
        <v>28716.98</v>
      </c>
      <c r="Q337" s="165">
        <v>25000</v>
      </c>
      <c r="R337" s="165"/>
      <c r="S337" s="165">
        <v>25000</v>
      </c>
      <c r="T337" s="165"/>
      <c r="U337" s="165">
        <v>25000</v>
      </c>
      <c r="V337" s="394"/>
      <c r="W337" s="392"/>
    </row>
    <row r="338" spans="1:23" ht="15.75">
      <c r="B338" s="172" t="s">
        <v>470</v>
      </c>
      <c r="C338" s="177"/>
      <c r="D338" s="332"/>
      <c r="E338" s="287">
        <f>SUM(E336:E337)</f>
        <v>21760</v>
      </c>
      <c r="F338" s="332"/>
      <c r="G338" s="287">
        <f>SUM(G336:G337)</f>
        <v>0</v>
      </c>
      <c r="H338" s="332"/>
      <c r="I338" s="287">
        <f>SUM(I336:I337)</f>
        <v>2572.5</v>
      </c>
      <c r="J338" s="332"/>
      <c r="K338" s="287">
        <f>SUM(K336:K337)</f>
        <v>4200</v>
      </c>
      <c r="L338" s="332"/>
      <c r="M338" s="287">
        <f>SUM(M336:M337)</f>
        <v>300</v>
      </c>
      <c r="N338" s="287">
        <f>SUM(N336:N337)</f>
        <v>14588.02</v>
      </c>
      <c r="O338" s="285">
        <f>SUM(O333:O337)</f>
        <v>59933.24</v>
      </c>
      <c r="P338" s="333">
        <f>SUM(P333:P337)</f>
        <v>167040.11000000002</v>
      </c>
      <c r="Q338" s="333">
        <f>SUM(Q333:Q337)</f>
        <v>145000</v>
      </c>
      <c r="R338" s="242">
        <f>SUM(R333:R337)</f>
        <v>0</v>
      </c>
      <c r="S338" s="242">
        <f>SUM(S333:S337)</f>
        <v>185000</v>
      </c>
      <c r="T338" s="399"/>
      <c r="U338" s="242">
        <f>SUM(U333:U337)</f>
        <v>185000</v>
      </c>
      <c r="V338" s="394"/>
      <c r="W338" s="392"/>
    </row>
    <row r="339" spans="1:23" ht="15.75">
      <c r="B339" s="172"/>
      <c r="C339" s="177"/>
      <c r="D339" s="165"/>
      <c r="E339" s="193"/>
      <c r="F339" s="165"/>
      <c r="G339" s="193"/>
      <c r="H339" s="165"/>
      <c r="I339" s="193"/>
      <c r="J339" s="165"/>
      <c r="K339" s="193"/>
      <c r="L339" s="165"/>
      <c r="M339" s="193"/>
      <c r="N339" s="193"/>
      <c r="O339" s="292"/>
      <c r="P339" s="292"/>
      <c r="Q339" s="292"/>
      <c r="R339" s="193"/>
      <c r="S339" s="193"/>
      <c r="T339" s="165"/>
      <c r="U339" s="193"/>
      <c r="V339" s="394"/>
      <c r="W339" s="392"/>
    </row>
    <row r="340" spans="1:23" ht="15.75">
      <c r="A340" s="423" t="s">
        <v>922</v>
      </c>
      <c r="B340" s="423"/>
      <c r="C340" s="423"/>
      <c r="G340" s="165"/>
      <c r="H340" s="165"/>
      <c r="I340" s="165"/>
      <c r="J340" s="165"/>
      <c r="K340" s="165"/>
      <c r="L340" s="165"/>
      <c r="M340" s="165"/>
      <c r="N340" s="165"/>
      <c r="O340" s="162"/>
      <c r="P340" s="162"/>
      <c r="R340" s="253"/>
      <c r="T340" s="165"/>
      <c r="V340" s="394"/>
      <c r="W340" s="392"/>
    </row>
    <row r="341" spans="1:23" ht="15.75">
      <c r="A341" s="160" t="s">
        <v>535</v>
      </c>
      <c r="B341" s="160" t="s">
        <v>894</v>
      </c>
      <c r="C341" s="160"/>
      <c r="D341" s="165"/>
      <c r="E341" s="165">
        <v>22564</v>
      </c>
      <c r="F341" s="165"/>
      <c r="G341" s="165">
        <v>19179.43</v>
      </c>
      <c r="H341" s="165"/>
      <c r="I341" s="165">
        <v>21165.56</v>
      </c>
      <c r="J341" s="165"/>
      <c r="K341" s="165">
        <v>30350.46</v>
      </c>
      <c r="L341" s="165"/>
      <c r="M341" s="165">
        <v>30935.35</v>
      </c>
      <c r="N341" s="165">
        <v>31052.26</v>
      </c>
      <c r="O341" s="162">
        <v>31376.85</v>
      </c>
      <c r="P341" s="162">
        <v>48305.49</v>
      </c>
      <c r="Q341" s="165">
        <v>89903</v>
      </c>
      <c r="R341" s="165"/>
      <c r="S341" s="165">
        <v>89903</v>
      </c>
      <c r="T341" s="165"/>
      <c r="U341" s="165">
        <v>105638</v>
      </c>
      <c r="V341" s="394"/>
      <c r="W341" s="392"/>
    </row>
    <row r="342" spans="1:23" ht="15.75">
      <c r="A342" s="160" t="s">
        <v>545</v>
      </c>
      <c r="B342" s="160" t="s">
        <v>419</v>
      </c>
      <c r="C342" s="160"/>
      <c r="D342" s="165"/>
      <c r="E342" s="165">
        <v>1181</v>
      </c>
      <c r="F342" s="165"/>
      <c r="G342" s="165">
        <v>740.99</v>
      </c>
      <c r="H342" s="165"/>
      <c r="I342" s="165">
        <v>554.22</v>
      </c>
      <c r="J342" s="165"/>
      <c r="K342" s="165">
        <v>1895.98</v>
      </c>
      <c r="L342" s="165"/>
      <c r="M342" s="165">
        <v>1715.42</v>
      </c>
      <c r="N342" s="165">
        <v>157.4</v>
      </c>
      <c r="O342" s="162">
        <v>1659.08</v>
      </c>
      <c r="P342" s="162">
        <v>1742.32</v>
      </c>
      <c r="Q342" s="165">
        <v>4000</v>
      </c>
      <c r="R342" s="165"/>
      <c r="S342" s="165">
        <v>4000</v>
      </c>
      <c r="T342" s="165"/>
      <c r="U342" s="165">
        <v>4000</v>
      </c>
      <c r="V342" s="394"/>
      <c r="W342" s="392"/>
    </row>
    <row r="343" spans="1:23" ht="15.75">
      <c r="A343" s="160" t="s">
        <v>398</v>
      </c>
      <c r="B343" s="160" t="s">
        <v>399</v>
      </c>
      <c r="C343" s="160"/>
      <c r="D343" s="165"/>
      <c r="E343" s="165">
        <v>1542</v>
      </c>
      <c r="F343" s="165"/>
      <c r="G343" s="165">
        <v>1266.1199999999999</v>
      </c>
      <c r="H343" s="165"/>
      <c r="I343" s="165">
        <v>1321.8</v>
      </c>
      <c r="J343" s="165"/>
      <c r="K343" s="165">
        <v>1957.67</v>
      </c>
      <c r="L343" s="165"/>
      <c r="M343" s="165">
        <v>2076.9499999999998</v>
      </c>
      <c r="N343" s="165">
        <v>1960.66</v>
      </c>
      <c r="O343" s="162">
        <v>2095.17</v>
      </c>
      <c r="P343" s="162">
        <v>3118.39</v>
      </c>
      <c r="Q343" s="165">
        <v>5822</v>
      </c>
      <c r="R343" s="165"/>
      <c r="S343" s="165">
        <v>5822</v>
      </c>
      <c r="T343" s="165"/>
      <c r="U343" s="165">
        <v>6798</v>
      </c>
      <c r="V343" s="394"/>
      <c r="W343" s="392"/>
    </row>
    <row r="344" spans="1:23" ht="15.75">
      <c r="A344" s="160" t="s">
        <v>400</v>
      </c>
      <c r="B344" s="160" t="s">
        <v>67</v>
      </c>
      <c r="C344" s="160"/>
      <c r="D344" s="165"/>
      <c r="E344" s="165">
        <v>353</v>
      </c>
      <c r="F344" s="165"/>
      <c r="G344" s="165">
        <v>296.10000000000002</v>
      </c>
      <c r="H344" s="165"/>
      <c r="I344" s="165">
        <v>309.14</v>
      </c>
      <c r="J344" s="165"/>
      <c r="K344" s="165">
        <v>551.27</v>
      </c>
      <c r="L344" s="165"/>
      <c r="M344" s="165">
        <v>485.76</v>
      </c>
      <c r="N344" s="165">
        <v>458.53</v>
      </c>
      <c r="O344" s="162">
        <v>490.01</v>
      </c>
      <c r="P344" s="162">
        <v>729.3</v>
      </c>
      <c r="Q344" s="165">
        <v>1362</v>
      </c>
      <c r="R344" s="165"/>
      <c r="S344" s="165">
        <v>1362</v>
      </c>
      <c r="T344" s="165"/>
      <c r="U344" s="165">
        <v>1590</v>
      </c>
      <c r="V344" s="394"/>
      <c r="W344" s="392"/>
    </row>
    <row r="345" spans="1:23" ht="15.75">
      <c r="A345" s="160" t="s">
        <v>401</v>
      </c>
      <c r="B345" s="160" t="s">
        <v>458</v>
      </c>
      <c r="C345" s="160"/>
      <c r="D345" s="165"/>
      <c r="E345" s="165">
        <v>4333</v>
      </c>
      <c r="F345" s="165"/>
      <c r="G345" s="165">
        <v>3505.5</v>
      </c>
      <c r="H345" s="165"/>
      <c r="I345" s="165">
        <v>3330.5</v>
      </c>
      <c r="J345" s="165"/>
      <c r="K345" s="165">
        <v>4991.5</v>
      </c>
      <c r="L345" s="165"/>
      <c r="M345" s="165">
        <v>-310.39</v>
      </c>
      <c r="N345" s="165">
        <v>6582.72</v>
      </c>
      <c r="O345" s="162">
        <v>4713.84</v>
      </c>
      <c r="P345" s="162">
        <v>5362.24</v>
      </c>
      <c r="Q345" s="165">
        <v>11009</v>
      </c>
      <c r="R345" s="165"/>
      <c r="S345" s="165">
        <v>13000</v>
      </c>
      <c r="T345" s="165"/>
      <c r="U345" s="165">
        <v>11890</v>
      </c>
      <c r="V345" s="394"/>
      <c r="W345" s="392"/>
    </row>
    <row r="346" spans="1:23" ht="15.75">
      <c r="A346" s="160" t="s">
        <v>406</v>
      </c>
      <c r="B346" s="160" t="s">
        <v>402</v>
      </c>
      <c r="C346" s="160"/>
      <c r="D346" s="165"/>
      <c r="E346" s="165">
        <v>215</v>
      </c>
      <c r="F346" s="165"/>
      <c r="G346" s="165">
        <v>165.77</v>
      </c>
      <c r="H346" s="165"/>
      <c r="I346" s="165">
        <v>106.58</v>
      </c>
      <c r="J346" s="165"/>
      <c r="K346" s="165">
        <v>72</v>
      </c>
      <c r="L346" s="165"/>
      <c r="M346" s="165">
        <v>261</v>
      </c>
      <c r="N346" s="165">
        <v>185.18</v>
      </c>
      <c r="O346" s="162">
        <v>158.99</v>
      </c>
      <c r="P346" s="162">
        <v>252.01</v>
      </c>
      <c r="Q346" s="165">
        <v>504</v>
      </c>
      <c r="R346" s="165"/>
      <c r="S346" s="165">
        <v>50</v>
      </c>
      <c r="T346" s="165"/>
      <c r="U346" s="165">
        <v>180</v>
      </c>
      <c r="V346" s="394"/>
      <c r="W346" s="392"/>
    </row>
    <row r="347" spans="1:23" ht="15.75">
      <c r="A347" s="160" t="s">
        <v>403</v>
      </c>
      <c r="B347" s="160" t="s">
        <v>393</v>
      </c>
      <c r="C347" s="160"/>
      <c r="D347" s="165"/>
      <c r="E347" s="165">
        <v>1178</v>
      </c>
      <c r="F347" s="165"/>
      <c r="G347" s="165">
        <v>710.37</v>
      </c>
      <c r="H347" s="165"/>
      <c r="I347" s="165">
        <v>689.41</v>
      </c>
      <c r="J347" s="165"/>
      <c r="K347" s="165">
        <v>1082.96</v>
      </c>
      <c r="L347" s="165"/>
      <c r="M347" s="165">
        <v>-2053.4</v>
      </c>
      <c r="N347" s="165">
        <v>380.75</v>
      </c>
      <c r="O347" s="162">
        <v>410.78</v>
      </c>
      <c r="P347" s="162">
        <v>3705.79</v>
      </c>
      <c r="Q347" s="165">
        <v>6939</v>
      </c>
      <c r="R347" s="165"/>
      <c r="S347" s="165">
        <v>7300</v>
      </c>
      <c r="T347" s="165"/>
      <c r="U347" s="165">
        <v>7686</v>
      </c>
      <c r="V347" s="394"/>
      <c r="W347" s="392"/>
    </row>
    <row r="348" spans="1:23" ht="15.75">
      <c r="A348" s="160" t="s">
        <v>404</v>
      </c>
      <c r="B348" s="160" t="s">
        <v>405</v>
      </c>
      <c r="C348" s="160"/>
      <c r="D348" s="165"/>
      <c r="E348" s="165">
        <v>518</v>
      </c>
      <c r="F348" s="165"/>
      <c r="G348" s="165">
        <v>245.64</v>
      </c>
      <c r="H348" s="165"/>
      <c r="I348" s="165">
        <v>321.02</v>
      </c>
      <c r="J348" s="165"/>
      <c r="K348" s="165">
        <v>527.67999999999995</v>
      </c>
      <c r="L348" s="165"/>
      <c r="M348" s="165">
        <v>796.91</v>
      </c>
      <c r="N348" s="165">
        <v>757.54</v>
      </c>
      <c r="O348" s="162">
        <v>762.31</v>
      </c>
      <c r="P348" s="162">
        <v>1361.49</v>
      </c>
      <c r="Q348" s="165">
        <v>2843</v>
      </c>
      <c r="R348" s="165"/>
      <c r="S348" s="165">
        <v>3120</v>
      </c>
      <c r="T348" s="165"/>
      <c r="U348" s="165">
        <v>3366</v>
      </c>
      <c r="V348" s="394"/>
      <c r="W348" s="392"/>
    </row>
    <row r="349" spans="1:23" ht="15.75">
      <c r="A349" s="160" t="s">
        <v>407</v>
      </c>
      <c r="B349" s="160" t="s">
        <v>251</v>
      </c>
      <c r="C349" s="160"/>
      <c r="D349" s="165"/>
      <c r="E349" s="165">
        <v>45</v>
      </c>
      <c r="F349" s="165"/>
      <c r="G349" s="165">
        <v>29.77</v>
      </c>
      <c r="H349" s="165"/>
      <c r="I349" s="165">
        <v>23.68</v>
      </c>
      <c r="J349" s="165"/>
      <c r="K349" s="165">
        <v>27.71</v>
      </c>
      <c r="L349" s="165"/>
      <c r="M349" s="165">
        <v>27.2</v>
      </c>
      <c r="N349" s="165">
        <v>47.43</v>
      </c>
      <c r="O349" s="162">
        <v>57.6</v>
      </c>
      <c r="P349" s="162">
        <v>46.8</v>
      </c>
      <c r="Q349" s="165">
        <v>86</v>
      </c>
      <c r="R349" s="165"/>
      <c r="S349" s="165">
        <v>86</v>
      </c>
      <c r="T349" s="165"/>
      <c r="U349" s="165">
        <v>82</v>
      </c>
      <c r="V349" s="394"/>
      <c r="W349" s="392"/>
    </row>
    <row r="350" spans="1:23" ht="15.75">
      <c r="A350" s="160" t="s">
        <v>536</v>
      </c>
      <c r="B350" s="160" t="s">
        <v>1090</v>
      </c>
      <c r="C350" s="160"/>
      <c r="D350" s="165"/>
      <c r="E350" s="165">
        <v>2461</v>
      </c>
      <c r="F350" s="165"/>
      <c r="G350" s="165">
        <v>2467</v>
      </c>
      <c r="H350" s="165"/>
      <c r="I350" s="165">
        <v>2734</v>
      </c>
      <c r="J350" s="165"/>
      <c r="K350" s="165">
        <v>790</v>
      </c>
      <c r="L350" s="165"/>
      <c r="M350" s="165">
        <v>546</v>
      </c>
      <c r="N350" s="165">
        <v>3645.5</v>
      </c>
      <c r="O350" s="162">
        <v>4838.1899999999996</v>
      </c>
      <c r="P350" s="162">
        <v>5780.78</v>
      </c>
      <c r="Q350" s="165">
        <v>6000</v>
      </c>
      <c r="R350" s="165"/>
      <c r="S350" s="165">
        <v>2500</v>
      </c>
      <c r="T350" s="165"/>
      <c r="U350" s="165">
        <v>6000</v>
      </c>
      <c r="V350" s="394"/>
      <c r="W350" s="392"/>
    </row>
    <row r="351" spans="1:23" ht="15.75">
      <c r="A351" s="160" t="s">
        <v>537</v>
      </c>
      <c r="B351" s="160" t="s">
        <v>463</v>
      </c>
      <c r="C351" s="160"/>
      <c r="D351" s="165"/>
      <c r="E351" s="165">
        <v>870</v>
      </c>
      <c r="F351" s="165"/>
      <c r="G351" s="165">
        <v>1622.78</v>
      </c>
      <c r="H351" s="165"/>
      <c r="I351" s="165">
        <v>706.23</v>
      </c>
      <c r="J351" s="165"/>
      <c r="K351" s="165">
        <v>756.75</v>
      </c>
      <c r="L351" s="165"/>
      <c r="M351" s="165">
        <v>223.23</v>
      </c>
      <c r="N351" s="165">
        <v>185.25</v>
      </c>
      <c r="O351" s="162">
        <v>273.99</v>
      </c>
      <c r="P351" s="162">
        <v>6785.96</v>
      </c>
      <c r="Q351" s="165">
        <v>8000</v>
      </c>
      <c r="R351" s="165"/>
      <c r="S351" s="165">
        <v>8000</v>
      </c>
      <c r="T351" s="165"/>
      <c r="U351" s="165">
        <v>8000</v>
      </c>
      <c r="V351" s="394"/>
      <c r="W351" s="392"/>
    </row>
    <row r="352" spans="1:23" ht="15.75">
      <c r="A352" s="160" t="s">
        <v>538</v>
      </c>
      <c r="B352" s="160" t="s">
        <v>415</v>
      </c>
      <c r="C352" s="160"/>
      <c r="D352" s="165"/>
      <c r="E352" s="165">
        <v>0</v>
      </c>
      <c r="F352" s="165"/>
      <c r="G352" s="165">
        <v>0</v>
      </c>
      <c r="H352" s="165"/>
      <c r="I352" s="165">
        <v>0</v>
      </c>
      <c r="J352" s="165"/>
      <c r="K352" s="165">
        <v>0</v>
      </c>
      <c r="L352" s="165"/>
      <c r="M352" s="165">
        <v>0</v>
      </c>
      <c r="N352" s="165">
        <v>0</v>
      </c>
      <c r="O352" s="162">
        <v>2929.35</v>
      </c>
      <c r="P352" s="162">
        <v>57.22</v>
      </c>
      <c r="Q352" s="165">
        <v>0</v>
      </c>
      <c r="R352" s="165"/>
      <c r="S352" s="165">
        <v>0</v>
      </c>
      <c r="T352" s="165"/>
      <c r="U352" s="165">
        <v>0</v>
      </c>
      <c r="V352" s="394"/>
      <c r="W352" s="392"/>
    </row>
    <row r="353" spans="1:24" ht="15.75">
      <c r="A353" s="160" t="s">
        <v>640</v>
      </c>
      <c r="B353" s="160" t="s">
        <v>1393</v>
      </c>
      <c r="C353" s="160"/>
      <c r="D353" s="165"/>
      <c r="E353" s="165">
        <v>831</v>
      </c>
      <c r="F353" s="165"/>
      <c r="G353" s="165">
        <v>875.72</v>
      </c>
      <c r="H353" s="165"/>
      <c r="I353" s="165">
        <v>775.72</v>
      </c>
      <c r="J353" s="165"/>
      <c r="K353" s="165">
        <v>831.79</v>
      </c>
      <c r="L353" s="165"/>
      <c r="M353" s="165">
        <v>600</v>
      </c>
      <c r="N353" s="165">
        <v>550</v>
      </c>
      <c r="O353" s="162">
        <v>600</v>
      </c>
      <c r="P353" s="162">
        <v>1050.8399999999999</v>
      </c>
      <c r="Q353" s="165">
        <v>1100</v>
      </c>
      <c r="R353" s="165"/>
      <c r="S353" s="165">
        <v>1100</v>
      </c>
      <c r="T353" s="415"/>
      <c r="U353" s="165">
        <v>1400</v>
      </c>
      <c r="V353" s="394"/>
      <c r="W353" s="392"/>
    </row>
    <row r="354" spans="1:24" ht="15.75">
      <c r="A354" s="160" t="s">
        <v>1317</v>
      </c>
      <c r="B354" s="160" t="s">
        <v>370</v>
      </c>
      <c r="C354" s="160"/>
      <c r="D354" s="165"/>
      <c r="E354" s="165"/>
      <c r="F354" s="165"/>
      <c r="G354" s="165"/>
      <c r="H354" s="165"/>
      <c r="I354" s="165"/>
      <c r="J354" s="165"/>
      <c r="K354" s="165"/>
      <c r="L354" s="165"/>
      <c r="M354" s="165"/>
      <c r="N354" s="165"/>
      <c r="O354" s="162"/>
      <c r="P354" s="162">
        <v>0</v>
      </c>
      <c r="Q354" s="165">
        <v>250</v>
      </c>
      <c r="R354" s="165"/>
      <c r="S354" s="165">
        <v>0</v>
      </c>
      <c r="T354" s="165"/>
      <c r="U354" s="165">
        <v>0</v>
      </c>
      <c r="V354" s="394"/>
      <c r="W354" s="392"/>
    </row>
    <row r="355" spans="1:24" ht="15.75">
      <c r="A355" s="160" t="s">
        <v>984</v>
      </c>
      <c r="B355" s="160" t="s">
        <v>95</v>
      </c>
      <c r="C355" s="160"/>
      <c r="D355" s="165"/>
      <c r="E355" s="165">
        <v>2826</v>
      </c>
      <c r="F355" s="165"/>
      <c r="G355" s="165">
        <v>1741</v>
      </c>
      <c r="H355" s="165"/>
      <c r="I355" s="165">
        <v>1669.98</v>
      </c>
      <c r="J355" s="165"/>
      <c r="K355" s="165">
        <v>2277.65</v>
      </c>
      <c r="L355" s="165"/>
      <c r="M355" s="165">
        <v>3391.83</v>
      </c>
      <c r="N355" s="165">
        <v>8860.0499999999993</v>
      </c>
      <c r="O355" s="162">
        <v>4753.3500000000004</v>
      </c>
      <c r="P355" s="162">
        <v>5258.63</v>
      </c>
      <c r="Q355" s="165">
        <v>10000</v>
      </c>
      <c r="R355" s="165"/>
      <c r="S355" s="165">
        <v>5000</v>
      </c>
      <c r="T355" s="165"/>
      <c r="U355" s="165">
        <v>7000</v>
      </c>
      <c r="V355" s="394"/>
      <c r="W355" s="392"/>
    </row>
    <row r="356" spans="1:24" ht="15.75">
      <c r="A356" s="160" t="s">
        <v>539</v>
      </c>
      <c r="B356" s="160" t="s">
        <v>1394</v>
      </c>
      <c r="C356" s="160"/>
      <c r="D356" s="165"/>
      <c r="E356" s="165">
        <v>251</v>
      </c>
      <c r="F356" s="165"/>
      <c r="G356" s="165">
        <v>1033.49</v>
      </c>
      <c r="H356" s="165"/>
      <c r="I356" s="165">
        <v>1218.44</v>
      </c>
      <c r="J356" s="165"/>
      <c r="K356" s="165">
        <v>866.54</v>
      </c>
      <c r="L356" s="165"/>
      <c r="M356" s="165">
        <v>370.5</v>
      </c>
      <c r="N356" s="165">
        <v>1033.78</v>
      </c>
      <c r="O356" s="162">
        <v>3993.76</v>
      </c>
      <c r="P356" s="162">
        <v>1292.49</v>
      </c>
      <c r="Q356" s="165">
        <v>2500</v>
      </c>
      <c r="R356" s="165"/>
      <c r="S356" s="165">
        <v>2500</v>
      </c>
      <c r="T356" s="165"/>
      <c r="U356" s="165">
        <v>2500</v>
      </c>
      <c r="V356" s="394"/>
      <c r="W356" s="392"/>
    </row>
    <row r="357" spans="1:24" ht="15.75">
      <c r="A357" s="160" t="s">
        <v>630</v>
      </c>
      <c r="B357" s="160" t="s">
        <v>72</v>
      </c>
      <c r="C357" s="160"/>
      <c r="D357" s="165"/>
      <c r="E357" s="165">
        <v>490</v>
      </c>
      <c r="F357" s="165"/>
      <c r="G357" s="165">
        <v>2485.6999999999998</v>
      </c>
      <c r="H357" s="165"/>
      <c r="I357" s="165">
        <v>1035.25</v>
      </c>
      <c r="J357" s="165"/>
      <c r="K357" s="165">
        <v>4812.7</v>
      </c>
      <c r="L357" s="165"/>
      <c r="M357" s="165">
        <v>25</v>
      </c>
      <c r="N357" s="165">
        <v>2589.04</v>
      </c>
      <c r="O357" s="162">
        <v>1351.96</v>
      </c>
      <c r="P357" s="162">
        <v>906.48</v>
      </c>
      <c r="Q357" s="165">
        <v>2500</v>
      </c>
      <c r="R357" s="165"/>
      <c r="S357" s="165">
        <v>1500</v>
      </c>
      <c r="T357" s="165"/>
      <c r="U357" s="165">
        <v>2000</v>
      </c>
      <c r="V357" s="394"/>
      <c r="W357" s="392"/>
    </row>
    <row r="358" spans="1:24" ht="15.75">
      <c r="A358" s="160" t="s">
        <v>540</v>
      </c>
      <c r="B358" s="160" t="s">
        <v>629</v>
      </c>
      <c r="C358" s="160"/>
      <c r="D358" s="165"/>
      <c r="E358" s="165">
        <v>52</v>
      </c>
      <c r="F358" s="165"/>
      <c r="G358" s="165">
        <v>100</v>
      </c>
      <c r="H358" s="165"/>
      <c r="I358" s="165">
        <v>100</v>
      </c>
      <c r="J358" s="165"/>
      <c r="K358" s="165">
        <v>112</v>
      </c>
      <c r="L358" s="165"/>
      <c r="M358" s="165">
        <v>137</v>
      </c>
      <c r="N358" s="165">
        <v>287</v>
      </c>
      <c r="O358" s="162">
        <v>137</v>
      </c>
      <c r="P358" s="162">
        <v>0</v>
      </c>
      <c r="Q358" s="165">
        <v>0</v>
      </c>
      <c r="R358" s="165"/>
      <c r="S358" s="165">
        <v>0</v>
      </c>
      <c r="T358" s="165"/>
      <c r="U358" s="165">
        <v>0</v>
      </c>
      <c r="V358" s="394"/>
      <c r="W358" s="392"/>
    </row>
    <row r="359" spans="1:24" ht="15.75">
      <c r="A359" s="161" t="s">
        <v>541</v>
      </c>
      <c r="B359" s="160" t="s">
        <v>387</v>
      </c>
      <c r="C359" s="160"/>
      <c r="D359" s="165"/>
      <c r="E359" s="165">
        <v>0</v>
      </c>
      <c r="F359" s="165"/>
      <c r="G359" s="165">
        <v>0</v>
      </c>
      <c r="H359" s="165"/>
      <c r="I359" s="165">
        <v>45.63</v>
      </c>
      <c r="J359" s="165"/>
      <c r="K359" s="165">
        <v>170.64</v>
      </c>
      <c r="L359" s="165"/>
      <c r="M359" s="165">
        <v>210.73</v>
      </c>
      <c r="N359" s="165">
        <v>54.95</v>
      </c>
      <c r="O359" s="162">
        <v>90.41</v>
      </c>
      <c r="P359" s="162">
        <v>240</v>
      </c>
      <c r="Q359" s="165">
        <v>500</v>
      </c>
      <c r="R359" s="165"/>
      <c r="S359" s="165">
        <v>500</v>
      </c>
      <c r="T359" s="165"/>
      <c r="U359" s="165">
        <v>500</v>
      </c>
      <c r="V359" s="394"/>
      <c r="W359" s="392"/>
    </row>
    <row r="360" spans="1:24" ht="15.75">
      <c r="A360" s="161" t="s">
        <v>1318</v>
      </c>
      <c r="B360" s="160" t="s">
        <v>1218</v>
      </c>
      <c r="C360" s="160"/>
      <c r="D360" s="165"/>
      <c r="E360" s="165"/>
      <c r="F360" s="165"/>
      <c r="G360" s="165"/>
      <c r="H360" s="165"/>
      <c r="I360" s="165"/>
      <c r="J360" s="165"/>
      <c r="K360" s="165"/>
      <c r="L360" s="165"/>
      <c r="M360" s="165"/>
      <c r="N360" s="165"/>
      <c r="O360" s="162"/>
      <c r="P360" s="162">
        <v>2125</v>
      </c>
      <c r="Q360" s="165">
        <v>2000</v>
      </c>
      <c r="R360" s="165"/>
      <c r="S360" s="165">
        <v>2000</v>
      </c>
      <c r="T360" s="165"/>
      <c r="U360" s="165">
        <v>2000</v>
      </c>
      <c r="V360" s="394"/>
      <c r="W360" s="392"/>
    </row>
    <row r="361" spans="1:24" ht="15.75">
      <c r="A361" s="160" t="s">
        <v>641</v>
      </c>
      <c r="B361" s="160" t="s">
        <v>389</v>
      </c>
      <c r="C361" s="160"/>
      <c r="D361" s="165"/>
      <c r="E361" s="165">
        <v>740</v>
      </c>
      <c r="F361" s="165"/>
      <c r="G361" s="165">
        <v>364.56</v>
      </c>
      <c r="H361" s="165"/>
      <c r="I361" s="165">
        <v>655.26</v>
      </c>
      <c r="J361" s="165"/>
      <c r="K361" s="165">
        <v>276.12</v>
      </c>
      <c r="L361" s="165"/>
      <c r="M361" s="165">
        <v>246.51</v>
      </c>
      <c r="N361" s="165">
        <v>244.38</v>
      </c>
      <c r="O361" s="162">
        <v>-21.46</v>
      </c>
      <c r="P361" s="162">
        <v>470.4</v>
      </c>
      <c r="Q361" s="165">
        <v>500</v>
      </c>
      <c r="R361" s="165"/>
      <c r="S361" s="165">
        <v>490.98</v>
      </c>
      <c r="T361" s="165"/>
      <c r="U361" s="165">
        <v>500</v>
      </c>
      <c r="V361" s="394"/>
      <c r="W361" s="392"/>
    </row>
    <row r="362" spans="1:24" ht="15.75" hidden="1">
      <c r="A362" s="160" t="s">
        <v>542</v>
      </c>
      <c r="B362" s="160" t="s">
        <v>1387</v>
      </c>
      <c r="C362" s="160"/>
      <c r="D362" s="165"/>
      <c r="E362" s="165">
        <v>0</v>
      </c>
      <c r="F362" s="165"/>
      <c r="G362" s="165">
        <v>973.53</v>
      </c>
      <c r="H362" s="165"/>
      <c r="I362" s="165">
        <v>100</v>
      </c>
      <c r="J362" s="165"/>
      <c r="K362" s="165">
        <v>18.48</v>
      </c>
      <c r="L362" s="165"/>
      <c r="M362" s="165">
        <v>333.36</v>
      </c>
      <c r="N362" s="165">
        <v>725.92</v>
      </c>
      <c r="O362" s="162">
        <v>12697.56</v>
      </c>
      <c r="P362" s="162"/>
      <c r="R362" s="165"/>
      <c r="T362" s="165"/>
      <c r="V362" s="394"/>
      <c r="W362" s="392"/>
    </row>
    <row r="363" spans="1:24" ht="15.75" hidden="1">
      <c r="A363" s="161" t="s">
        <v>1151</v>
      </c>
      <c r="B363" s="160" t="s">
        <v>606</v>
      </c>
      <c r="C363" s="160"/>
      <c r="D363" s="165"/>
      <c r="E363" s="165">
        <v>12973</v>
      </c>
      <c r="F363" s="165"/>
      <c r="G363" s="165">
        <v>0</v>
      </c>
      <c r="H363" s="165"/>
      <c r="I363" s="165">
        <v>0</v>
      </c>
      <c r="J363" s="165"/>
      <c r="K363" s="165">
        <v>0</v>
      </c>
      <c r="L363" s="165"/>
      <c r="M363" s="165">
        <v>0</v>
      </c>
      <c r="N363" s="165"/>
      <c r="O363" s="162">
        <v>0</v>
      </c>
      <c r="P363" s="162"/>
      <c r="R363" s="165"/>
      <c r="T363" s="165"/>
      <c r="V363" s="394"/>
      <c r="W363" s="392"/>
    </row>
    <row r="364" spans="1:24" ht="15.75">
      <c r="A364" s="160" t="s">
        <v>543</v>
      </c>
      <c r="B364" s="160" t="s">
        <v>464</v>
      </c>
      <c r="C364" s="160"/>
      <c r="D364" s="165"/>
      <c r="E364" s="165">
        <v>677</v>
      </c>
      <c r="F364" s="165"/>
      <c r="G364" s="165">
        <v>944.97</v>
      </c>
      <c r="H364" s="165"/>
      <c r="I364" s="165">
        <v>356.31</v>
      </c>
      <c r="J364" s="165"/>
      <c r="K364" s="165">
        <v>1360.92</v>
      </c>
      <c r="L364" s="165"/>
      <c r="M364" s="165">
        <v>1535.12</v>
      </c>
      <c r="N364" s="165">
        <v>1057.42</v>
      </c>
      <c r="O364" s="162">
        <v>1226.81</v>
      </c>
      <c r="P364" s="162">
        <v>561.66</v>
      </c>
      <c r="Q364" s="165">
        <v>500</v>
      </c>
      <c r="R364" s="165"/>
      <c r="S364" s="165">
        <v>500</v>
      </c>
      <c r="T364" s="165"/>
      <c r="U364" s="165">
        <v>500</v>
      </c>
      <c r="V364" s="394"/>
      <c r="W364" s="392"/>
    </row>
    <row r="365" spans="1:24" ht="15.75">
      <c r="A365" s="160" t="s">
        <v>631</v>
      </c>
      <c r="B365" s="160" t="s">
        <v>462</v>
      </c>
      <c r="C365" s="160"/>
      <c r="D365" s="165"/>
      <c r="E365" s="165">
        <v>7473</v>
      </c>
      <c r="F365" s="165"/>
      <c r="G365" s="165">
        <v>236</v>
      </c>
      <c r="H365" s="165"/>
      <c r="I365" s="165">
        <v>0</v>
      </c>
      <c r="J365" s="165"/>
      <c r="K365" s="165">
        <v>386.9</v>
      </c>
      <c r="L365" s="165"/>
      <c r="M365" s="165">
        <v>579.99</v>
      </c>
      <c r="N365" s="165">
        <v>318.99</v>
      </c>
      <c r="O365" s="162">
        <v>1141.3399999999999</v>
      </c>
      <c r="P365" s="162">
        <v>0</v>
      </c>
      <c r="Q365" s="165">
        <v>500</v>
      </c>
      <c r="R365" s="165"/>
      <c r="S365" s="165">
        <v>500</v>
      </c>
      <c r="T365" s="165"/>
      <c r="U365" s="165">
        <v>500</v>
      </c>
      <c r="V365" s="394"/>
      <c r="W365" s="392"/>
    </row>
    <row r="366" spans="1:24" ht="15.75">
      <c r="A366" s="161" t="s">
        <v>1522</v>
      </c>
      <c r="B366" s="160" t="s">
        <v>1523</v>
      </c>
      <c r="C366" s="161"/>
      <c r="D366" s="165"/>
      <c r="E366" s="165"/>
      <c r="F366" s="165"/>
      <c r="G366" s="165"/>
      <c r="H366" s="165"/>
      <c r="I366" s="165"/>
      <c r="J366" s="165"/>
      <c r="K366" s="165"/>
      <c r="L366" s="165"/>
      <c r="M366" s="165"/>
      <c r="N366" s="165"/>
      <c r="O366" s="162"/>
      <c r="P366" s="160">
        <v>0</v>
      </c>
      <c r="Q366" s="165">
        <v>0</v>
      </c>
      <c r="R366" s="165"/>
      <c r="S366" s="165">
        <v>11485</v>
      </c>
      <c r="T366" s="165"/>
      <c r="U366" s="165">
        <v>3000</v>
      </c>
      <c r="V366" s="394"/>
      <c r="W366" s="392"/>
    </row>
    <row r="367" spans="1:24" ht="15.75">
      <c r="B367" s="172" t="s">
        <v>470</v>
      </c>
      <c r="C367" s="177"/>
      <c r="D367" s="332"/>
      <c r="E367" s="287">
        <f>SUM(E341:E365)</f>
        <v>61573</v>
      </c>
      <c r="F367" s="332"/>
      <c r="G367" s="287">
        <f>SUM(G341:G365)</f>
        <v>38984.439999999995</v>
      </c>
      <c r="H367" s="332"/>
      <c r="I367" s="287">
        <f>SUM(I341:I365)</f>
        <v>37218.730000000003</v>
      </c>
      <c r="J367" s="332"/>
      <c r="K367" s="287">
        <f>SUM(K341:K365)</f>
        <v>54117.72</v>
      </c>
      <c r="L367" s="332"/>
      <c r="M367" s="287">
        <f>SUM(M341:M365)</f>
        <v>42134.070000000007</v>
      </c>
      <c r="N367" s="287">
        <f t="shared" ref="N367:T367" si="53">SUM(N341:N365)</f>
        <v>61134.749999999993</v>
      </c>
      <c r="O367" s="285">
        <f>SUM(O341:O365)</f>
        <v>75736.889999999985</v>
      </c>
      <c r="P367" s="333">
        <f>SUM(P341:P366)</f>
        <v>89153.290000000008</v>
      </c>
      <c r="Q367" s="333">
        <f>SUM(Q341:Q366)</f>
        <v>156818</v>
      </c>
      <c r="R367" s="242">
        <f t="shared" si="53"/>
        <v>0</v>
      </c>
      <c r="S367" s="242">
        <f>SUM(S341:S366)</f>
        <v>160718.98000000001</v>
      </c>
      <c r="T367" s="242">
        <f t="shared" si="53"/>
        <v>0</v>
      </c>
      <c r="U367" s="242">
        <f>SUM(U341:U366)</f>
        <v>175130</v>
      </c>
      <c r="V367" s="394"/>
      <c r="W367" s="392"/>
    </row>
    <row r="368" spans="1:24" ht="15.75">
      <c r="B368" s="172"/>
      <c r="C368" s="177"/>
      <c r="D368" s="165"/>
      <c r="E368" s="193"/>
      <c r="F368" s="165"/>
      <c r="G368" s="193"/>
      <c r="H368" s="165"/>
      <c r="I368" s="193"/>
      <c r="J368" s="165"/>
      <c r="K368" s="193"/>
      <c r="L368" s="165"/>
      <c r="M368" s="193"/>
      <c r="N368" s="193"/>
      <c r="O368" s="292"/>
      <c r="P368" s="292"/>
      <c r="Q368" s="193"/>
      <c r="R368" s="193"/>
      <c r="S368" s="193"/>
      <c r="T368" s="165"/>
      <c r="U368" s="193"/>
      <c r="W368" s="180"/>
      <c r="X368" s="188"/>
    </row>
    <row r="369" spans="1:24" ht="15.75">
      <c r="A369" s="423" t="s">
        <v>1375</v>
      </c>
      <c r="B369" s="423"/>
      <c r="C369" s="423"/>
      <c r="D369" s="165"/>
      <c r="E369" s="193"/>
      <c r="F369" s="165"/>
      <c r="G369" s="193"/>
      <c r="H369" s="165"/>
      <c r="I369" s="193"/>
      <c r="J369" s="165"/>
      <c r="K369" s="193"/>
      <c r="L369" s="165"/>
      <c r="M369" s="193"/>
      <c r="N369" s="193"/>
      <c r="O369" s="292"/>
      <c r="P369" s="292"/>
      <c r="Q369" s="193"/>
      <c r="R369" s="193"/>
      <c r="S369" s="193"/>
      <c r="T369" s="165"/>
      <c r="U369" s="193"/>
      <c r="W369" s="180"/>
    </row>
    <row r="370" spans="1:24">
      <c r="A370" s="160" t="s">
        <v>713</v>
      </c>
      <c r="B370" s="160" t="s">
        <v>604</v>
      </c>
      <c r="C370" s="161"/>
      <c r="D370" s="165"/>
      <c r="E370" s="165">
        <v>0</v>
      </c>
      <c r="F370" s="165"/>
      <c r="G370" s="165">
        <v>13704.24</v>
      </c>
      <c r="H370" s="165"/>
      <c r="I370" s="165">
        <v>6451.67</v>
      </c>
      <c r="J370" s="165"/>
      <c r="K370" s="165">
        <v>8726</v>
      </c>
      <c r="L370" s="165"/>
      <c r="M370" s="165">
        <v>7940.86</v>
      </c>
      <c r="N370" s="165">
        <v>8763.7999999999993</v>
      </c>
      <c r="O370" s="162">
        <v>13836.18</v>
      </c>
      <c r="P370" s="162">
        <v>18849.84</v>
      </c>
      <c r="Q370" s="165">
        <v>20000</v>
      </c>
      <c r="R370" s="165"/>
      <c r="S370" s="165">
        <v>26145</v>
      </c>
      <c r="T370" s="165"/>
      <c r="U370" s="165">
        <v>26500</v>
      </c>
      <c r="V370" s="181">
        <f t="shared" ref="V370:V375" si="54">(U370-Q370)/Q370</f>
        <v>0.32500000000000001</v>
      </c>
      <c r="W370" s="180">
        <f>S370-Q370</f>
        <v>6145</v>
      </c>
    </row>
    <row r="371" spans="1:24">
      <c r="A371" s="160" t="s">
        <v>714</v>
      </c>
      <c r="B371" s="160" t="s">
        <v>385</v>
      </c>
      <c r="C371" s="161"/>
      <c r="D371" s="165"/>
      <c r="E371" s="165">
        <v>0</v>
      </c>
      <c r="F371" s="165"/>
      <c r="G371" s="165">
        <v>230.27</v>
      </c>
      <c r="H371" s="165"/>
      <c r="I371" s="165">
        <v>246.52</v>
      </c>
      <c r="J371" s="165"/>
      <c r="K371" s="165">
        <v>153.36000000000001</v>
      </c>
      <c r="L371" s="165"/>
      <c r="M371" s="165">
        <v>266.58999999999997</v>
      </c>
      <c r="N371" s="165">
        <v>270.26</v>
      </c>
      <c r="O371" s="162">
        <v>266.92</v>
      </c>
      <c r="P371" s="162">
        <v>594.12</v>
      </c>
      <c r="Q371" s="165">
        <v>600</v>
      </c>
      <c r="R371" s="165"/>
      <c r="S371" s="165">
        <v>530</v>
      </c>
      <c r="T371" s="415"/>
      <c r="U371" s="165">
        <v>318</v>
      </c>
      <c r="V371" s="181">
        <f t="shared" si="54"/>
        <v>-0.47</v>
      </c>
      <c r="W371" s="180">
        <f>S371-Q371</f>
        <v>-70</v>
      </c>
    </row>
    <row r="372" spans="1:24">
      <c r="A372" s="160" t="s">
        <v>638</v>
      </c>
      <c r="B372" s="160" t="s">
        <v>388</v>
      </c>
      <c r="C372" s="160"/>
      <c r="D372" s="165"/>
      <c r="E372" s="165">
        <v>559</v>
      </c>
      <c r="F372" s="165"/>
      <c r="G372" s="165">
        <v>646</v>
      </c>
      <c r="H372" s="165"/>
      <c r="I372" s="165">
        <v>814</v>
      </c>
      <c r="J372" s="165"/>
      <c r="K372" s="165">
        <v>853</v>
      </c>
      <c r="L372" s="165"/>
      <c r="M372" s="165">
        <v>895</v>
      </c>
      <c r="N372" s="165">
        <v>1011</v>
      </c>
      <c r="O372" s="162">
        <v>413</v>
      </c>
      <c r="P372" s="162">
        <v>7092.53</v>
      </c>
      <c r="Q372" s="165">
        <v>7200</v>
      </c>
      <c r="R372" s="165"/>
      <c r="S372" s="165">
        <v>7096.23</v>
      </c>
      <c r="T372" s="165"/>
      <c r="U372" s="165">
        <v>7200</v>
      </c>
      <c r="V372" s="181">
        <v>0</v>
      </c>
      <c r="W372" s="180"/>
    </row>
    <row r="373" spans="1:24">
      <c r="A373" s="160" t="s">
        <v>546</v>
      </c>
      <c r="B373" s="160" t="s">
        <v>389</v>
      </c>
      <c r="C373" s="160"/>
      <c r="D373" s="165"/>
      <c r="E373" s="165">
        <v>29076</v>
      </c>
      <c r="F373" s="165"/>
      <c r="G373" s="165">
        <v>10182.73</v>
      </c>
      <c r="H373" s="165"/>
      <c r="I373" s="165">
        <v>8444.26</v>
      </c>
      <c r="J373" s="165"/>
      <c r="K373" s="165">
        <v>7377.8</v>
      </c>
      <c r="L373" s="165"/>
      <c r="M373" s="165">
        <v>6215.61</v>
      </c>
      <c r="N373" s="165">
        <v>6733.8</v>
      </c>
      <c r="O373" s="162">
        <v>10652.68</v>
      </c>
      <c r="P373" s="162">
        <v>18543.560000000001</v>
      </c>
      <c r="Q373" s="165">
        <v>19000</v>
      </c>
      <c r="R373" s="165"/>
      <c r="S373" s="165">
        <v>23699.34</v>
      </c>
      <c r="T373" s="165"/>
      <c r="U373" s="165">
        <v>24000</v>
      </c>
      <c r="V373" s="181">
        <f t="shared" si="54"/>
        <v>0.26315789473684209</v>
      </c>
      <c r="W373" s="180">
        <f>S373-Q373</f>
        <v>4699.34</v>
      </c>
    </row>
    <row r="374" spans="1:24">
      <c r="A374" s="161" t="s">
        <v>887</v>
      </c>
      <c r="B374" s="160" t="s">
        <v>31</v>
      </c>
      <c r="C374" s="160"/>
      <c r="D374" s="165"/>
      <c r="E374" s="165">
        <v>100000</v>
      </c>
      <c r="F374" s="165"/>
      <c r="G374" s="165">
        <v>100000</v>
      </c>
      <c r="H374" s="165"/>
      <c r="I374" s="165">
        <v>100000</v>
      </c>
      <c r="J374" s="165"/>
      <c r="K374" s="165">
        <v>100000</v>
      </c>
      <c r="L374" s="165"/>
      <c r="M374" s="165">
        <v>100000</v>
      </c>
      <c r="N374" s="165">
        <v>100000</v>
      </c>
      <c r="O374" s="162">
        <v>100000</v>
      </c>
      <c r="P374" s="162">
        <v>310000</v>
      </c>
      <c r="Q374" s="165">
        <v>160000</v>
      </c>
      <c r="R374" s="165"/>
      <c r="S374" s="165">
        <v>160000</v>
      </c>
      <c r="T374" s="165"/>
      <c r="U374" s="165">
        <v>160000</v>
      </c>
      <c r="V374" s="181">
        <f t="shared" si="54"/>
        <v>0</v>
      </c>
      <c r="W374" s="180">
        <f>S374-Q374</f>
        <v>0</v>
      </c>
    </row>
    <row r="375" spans="1:24">
      <c r="A375" s="160" t="s">
        <v>1238</v>
      </c>
      <c r="B375" s="160" t="s">
        <v>1221</v>
      </c>
      <c r="C375" s="161"/>
      <c r="D375" s="165"/>
      <c r="E375" s="165"/>
      <c r="F375" s="165"/>
      <c r="G375" s="165"/>
      <c r="H375" s="165"/>
      <c r="I375" s="165"/>
      <c r="J375" s="165"/>
      <c r="K375" s="165"/>
      <c r="L375" s="165"/>
      <c r="M375" s="165"/>
      <c r="N375" s="165"/>
      <c r="O375" s="162"/>
      <c r="P375" s="162">
        <v>0</v>
      </c>
      <c r="Q375" s="165">
        <v>0</v>
      </c>
      <c r="R375" s="165"/>
      <c r="S375" s="165">
        <v>0</v>
      </c>
      <c r="T375" s="165"/>
      <c r="U375" s="165">
        <v>0</v>
      </c>
      <c r="V375" s="181" t="e">
        <f t="shared" si="54"/>
        <v>#DIV/0!</v>
      </c>
      <c r="W375" s="180">
        <f>S375-Q375</f>
        <v>0</v>
      </c>
    </row>
    <row r="376" spans="1:24" ht="15.75">
      <c r="B376" s="172" t="s">
        <v>470</v>
      </c>
      <c r="C376" s="177"/>
      <c r="D376" s="332"/>
      <c r="E376" s="287">
        <f>SUM(E373:E375)</f>
        <v>129076</v>
      </c>
      <c r="F376" s="332"/>
      <c r="G376" s="287">
        <f>SUM(G370:G375)</f>
        <v>124763.23999999999</v>
      </c>
      <c r="H376" s="332"/>
      <c r="I376" s="287">
        <f>SUM(I370:I375)</f>
        <v>115956.45</v>
      </c>
      <c r="J376" s="332"/>
      <c r="K376" s="287">
        <f>SUM(K370:K375)</f>
        <v>117110.16</v>
      </c>
      <c r="L376" s="332"/>
      <c r="M376" s="287">
        <f t="shared" ref="M376:S376" si="55">SUM(M370:M375)</f>
        <v>115318.06</v>
      </c>
      <c r="N376" s="287">
        <f t="shared" si="55"/>
        <v>116778.86</v>
      </c>
      <c r="O376" s="285">
        <f t="shared" si="55"/>
        <v>125168.78</v>
      </c>
      <c r="P376" s="333">
        <f>SUM(P370:P375)</f>
        <v>355080.05</v>
      </c>
      <c r="Q376" s="333">
        <f>SUM(Q370:Q375)</f>
        <v>206800</v>
      </c>
      <c r="R376" s="242">
        <f t="shared" si="55"/>
        <v>0</v>
      </c>
      <c r="S376" s="242">
        <f t="shared" si="55"/>
        <v>217470.57</v>
      </c>
      <c r="T376" s="399"/>
      <c r="U376" s="242">
        <f>SUM(U370:U375)</f>
        <v>218018</v>
      </c>
      <c r="V376" s="384">
        <f>(U376-Q376)/Q376</f>
        <v>5.4245647969052221E-2</v>
      </c>
      <c r="W376" s="192">
        <f>S376-Q376</f>
        <v>10670.570000000007</v>
      </c>
    </row>
    <row r="377" spans="1:24" ht="15.75">
      <c r="B377" s="172"/>
      <c r="C377" s="177"/>
      <c r="D377" s="165"/>
      <c r="E377" s="193"/>
      <c r="F377" s="165"/>
      <c r="G377" s="193"/>
      <c r="H377" s="165"/>
      <c r="I377" s="193"/>
      <c r="J377" s="165"/>
      <c r="K377" s="193"/>
      <c r="L377" s="165"/>
      <c r="M377" s="193"/>
      <c r="N377" s="193"/>
      <c r="O377" s="391"/>
      <c r="P377" s="391"/>
      <c r="Q377" s="193"/>
      <c r="R377" s="193"/>
      <c r="S377" s="193"/>
      <c r="T377" s="165"/>
      <c r="U377" s="193"/>
      <c r="W377" s="180"/>
      <c r="X377" s="188"/>
    </row>
    <row r="378" spans="1:24" ht="15.75">
      <c r="A378" s="423" t="s">
        <v>1378</v>
      </c>
      <c r="B378" s="423"/>
      <c r="C378" s="423"/>
      <c r="G378" s="165"/>
      <c r="H378" s="165"/>
      <c r="I378" s="165"/>
      <c r="J378" s="165"/>
      <c r="K378" s="165"/>
      <c r="L378" s="165"/>
      <c r="M378" s="165"/>
      <c r="N378" s="165"/>
      <c r="O378" s="162"/>
      <c r="P378" s="162"/>
      <c r="R378" s="253"/>
      <c r="T378" s="165"/>
      <c r="W378" s="180"/>
      <c r="X378" s="188"/>
    </row>
    <row r="379" spans="1:24" ht="15.75">
      <c r="A379" s="160" t="s">
        <v>1169</v>
      </c>
      <c r="B379" s="160" t="s">
        <v>1180</v>
      </c>
      <c r="C379" s="160"/>
      <c r="E379" s="162">
        <v>3467</v>
      </c>
      <c r="G379" s="165">
        <v>1580.73</v>
      </c>
      <c r="H379" s="165"/>
      <c r="I379" s="165">
        <v>0</v>
      </c>
      <c r="J379" s="165"/>
      <c r="K379" s="165">
        <v>406.25</v>
      </c>
      <c r="L379" s="165"/>
      <c r="M379" s="165">
        <v>0</v>
      </c>
      <c r="N379" s="165">
        <v>375</v>
      </c>
      <c r="O379" s="162">
        <v>0</v>
      </c>
      <c r="P379" s="162">
        <v>0</v>
      </c>
      <c r="Q379" s="165">
        <v>0</v>
      </c>
      <c r="R379" s="165"/>
      <c r="S379" s="165">
        <v>0</v>
      </c>
      <c r="T379" s="165"/>
      <c r="U379" s="165">
        <v>0</v>
      </c>
      <c r="W379" s="180"/>
      <c r="X379" s="188"/>
    </row>
    <row r="380" spans="1:24" ht="15.75" hidden="1">
      <c r="A380" s="160" t="s">
        <v>1126</v>
      </c>
      <c r="B380" s="160" t="s">
        <v>369</v>
      </c>
      <c r="C380" s="160"/>
      <c r="E380" s="162"/>
      <c r="G380" s="165"/>
      <c r="H380" s="165"/>
      <c r="I380" s="165"/>
      <c r="J380" s="165"/>
      <c r="K380" s="165"/>
      <c r="L380" s="165"/>
      <c r="M380" s="165"/>
      <c r="N380" s="165"/>
      <c r="O380" s="162">
        <v>0</v>
      </c>
      <c r="P380" s="162"/>
      <c r="R380" s="165"/>
      <c r="T380" s="165"/>
      <c r="W380" s="180"/>
      <c r="X380" s="188"/>
    </row>
    <row r="381" spans="1:24" ht="15.75">
      <c r="A381" s="160" t="s">
        <v>899</v>
      </c>
      <c r="B381" s="160" t="s">
        <v>900</v>
      </c>
      <c r="C381" s="160"/>
      <c r="E381" s="162">
        <v>3467</v>
      </c>
      <c r="G381" s="165">
        <v>1580.73</v>
      </c>
      <c r="H381" s="165"/>
      <c r="I381" s="165">
        <v>0</v>
      </c>
      <c r="J381" s="165"/>
      <c r="K381" s="165">
        <v>406.25</v>
      </c>
      <c r="L381" s="165"/>
      <c r="M381" s="165">
        <v>0</v>
      </c>
      <c r="N381" s="165">
        <v>375</v>
      </c>
      <c r="O381" s="162">
        <v>375</v>
      </c>
      <c r="P381" s="162">
        <v>375</v>
      </c>
      <c r="Q381" s="165">
        <v>0</v>
      </c>
      <c r="R381" s="165"/>
      <c r="S381" s="165">
        <v>0</v>
      </c>
      <c r="T381" s="165"/>
      <c r="U381" s="165">
        <v>0</v>
      </c>
      <c r="W381" s="180"/>
      <c r="X381" s="188"/>
    </row>
    <row r="382" spans="1:24" ht="15.75" hidden="1">
      <c r="A382" s="160" t="s">
        <v>1152</v>
      </c>
      <c r="B382" s="160" t="s">
        <v>370</v>
      </c>
      <c r="C382" s="160"/>
      <c r="E382" s="162">
        <v>3467</v>
      </c>
      <c r="G382" s="165">
        <v>1580.73</v>
      </c>
      <c r="H382" s="165"/>
      <c r="I382" s="165">
        <v>0</v>
      </c>
      <c r="J382" s="165"/>
      <c r="K382" s="165">
        <v>30741.85</v>
      </c>
      <c r="L382" s="165"/>
      <c r="M382" s="165">
        <v>0</v>
      </c>
      <c r="N382" s="165"/>
      <c r="O382" s="162">
        <v>275</v>
      </c>
      <c r="P382" s="162"/>
      <c r="R382" s="165"/>
      <c r="T382" s="165"/>
      <c r="W382" s="180"/>
      <c r="X382" s="188"/>
    </row>
    <row r="383" spans="1:24" ht="15.75" hidden="1">
      <c r="A383" s="160" t="s">
        <v>1129</v>
      </c>
      <c r="B383" s="160" t="s">
        <v>92</v>
      </c>
      <c r="C383" s="160"/>
      <c r="D383" s="165"/>
      <c r="E383" s="165">
        <v>251</v>
      </c>
      <c r="F383" s="165"/>
      <c r="G383" s="165">
        <v>1033.49</v>
      </c>
      <c r="H383" s="165"/>
      <c r="I383" s="165">
        <v>1218.44</v>
      </c>
      <c r="J383" s="165"/>
      <c r="K383" s="165">
        <v>866.54</v>
      </c>
      <c r="L383" s="165"/>
      <c r="M383" s="165">
        <v>370.5</v>
      </c>
      <c r="N383" s="165">
        <v>1033.78</v>
      </c>
      <c r="O383" s="162">
        <v>29</v>
      </c>
      <c r="P383" s="162"/>
      <c r="R383" s="165"/>
      <c r="T383" s="165"/>
      <c r="W383" s="180"/>
      <c r="X383" s="188"/>
    </row>
    <row r="384" spans="1:24" ht="15.75" hidden="1">
      <c r="A384" s="161" t="s">
        <v>1127</v>
      </c>
      <c r="B384" s="160" t="s">
        <v>606</v>
      </c>
      <c r="C384" s="160"/>
      <c r="D384" s="165"/>
      <c r="E384" s="165">
        <v>12973</v>
      </c>
      <c r="F384" s="165"/>
      <c r="G384" s="165">
        <v>0</v>
      </c>
      <c r="H384" s="165"/>
      <c r="I384" s="165">
        <v>0</v>
      </c>
      <c r="J384" s="165"/>
      <c r="K384" s="165">
        <v>10000</v>
      </c>
      <c r="L384" s="165"/>
      <c r="M384" s="165">
        <v>7700</v>
      </c>
      <c r="N384" s="165">
        <v>390535.11</v>
      </c>
      <c r="O384" s="162">
        <v>26858</v>
      </c>
      <c r="P384" s="162"/>
      <c r="R384" s="165"/>
      <c r="T384" s="165"/>
      <c r="W384" s="180"/>
      <c r="X384" s="188"/>
    </row>
    <row r="385" spans="1:24" ht="15.75">
      <c r="A385" s="160" t="s">
        <v>642</v>
      </c>
      <c r="B385" s="160" t="s">
        <v>643</v>
      </c>
      <c r="C385" s="160"/>
      <c r="E385" s="162">
        <v>3467</v>
      </c>
      <c r="G385" s="165">
        <v>1580.73</v>
      </c>
      <c r="H385" s="165"/>
      <c r="I385" s="165">
        <v>-15.84</v>
      </c>
      <c r="J385" s="165"/>
      <c r="K385" s="165">
        <v>-174.11</v>
      </c>
      <c r="L385" s="165"/>
      <c r="M385" s="165">
        <v>2742.83</v>
      </c>
      <c r="N385" s="165">
        <v>-14.14</v>
      </c>
      <c r="O385" s="162">
        <v>1740.06</v>
      </c>
      <c r="P385" s="162">
        <v>2532.73</v>
      </c>
      <c r="Q385" s="165">
        <v>2200</v>
      </c>
      <c r="R385" s="165"/>
      <c r="S385" s="165">
        <v>2500</v>
      </c>
      <c r="T385" s="165"/>
      <c r="U385" s="165">
        <v>2500</v>
      </c>
      <c r="W385" s="180"/>
      <c r="X385" s="188"/>
    </row>
    <row r="386" spans="1:24" ht="15.75">
      <c r="B386" s="172" t="s">
        <v>470</v>
      </c>
      <c r="C386" s="177"/>
      <c r="D386" s="313"/>
      <c r="E386" s="285">
        <f>SUM(E385:E385)</f>
        <v>3467</v>
      </c>
      <c r="F386" s="313"/>
      <c r="G386" s="287">
        <f>SUM(G385)</f>
        <v>1580.73</v>
      </c>
      <c r="H386" s="332"/>
      <c r="I386" s="287">
        <f t="shared" ref="I386:N386" si="56">SUM(I381:I385)</f>
        <v>1202.6000000000001</v>
      </c>
      <c r="J386" s="287">
        <f t="shared" si="56"/>
        <v>0</v>
      </c>
      <c r="K386" s="287">
        <f t="shared" si="56"/>
        <v>41840.53</v>
      </c>
      <c r="L386" s="287">
        <f t="shared" si="56"/>
        <v>0</v>
      </c>
      <c r="M386" s="287">
        <f t="shared" si="56"/>
        <v>10813.33</v>
      </c>
      <c r="N386" s="287">
        <f t="shared" si="56"/>
        <v>391929.75</v>
      </c>
      <c r="O386" s="285">
        <f>SUM(O379:O385)</f>
        <v>29277.06</v>
      </c>
      <c r="P386" s="333">
        <f>SUM(P379:P385)</f>
        <v>2907.73</v>
      </c>
      <c r="Q386" s="333">
        <f>SUM(Q379:Q385)</f>
        <v>2200</v>
      </c>
      <c r="R386" s="242">
        <f>SUM(R379:R385)</f>
        <v>0</v>
      </c>
      <c r="S386" s="242">
        <f>SUM(S379:S385)</f>
        <v>2500</v>
      </c>
      <c r="T386" s="399"/>
      <c r="U386" s="242">
        <f>SUM(U379:U385)</f>
        <v>2500</v>
      </c>
      <c r="W386" s="180"/>
      <c r="X386" s="188"/>
    </row>
    <row r="387" spans="1:24" ht="15.75">
      <c r="B387" s="172"/>
      <c r="C387" s="177"/>
      <c r="E387" s="292"/>
      <c r="G387" s="193"/>
      <c r="H387" s="165"/>
      <c r="I387" s="193"/>
      <c r="J387" s="193"/>
      <c r="K387" s="193"/>
      <c r="L387" s="193"/>
      <c r="M387" s="193"/>
      <c r="N387" s="193"/>
      <c r="O387" s="292"/>
      <c r="P387" s="292"/>
      <c r="Q387" s="292"/>
      <c r="R387" s="193"/>
      <c r="S387" s="193"/>
      <c r="T387" s="165"/>
      <c r="U387" s="193"/>
      <c r="W387" s="180"/>
      <c r="X387" s="188"/>
    </row>
    <row r="388" spans="1:24" ht="15.75" hidden="1">
      <c r="A388" s="423" t="s">
        <v>1381</v>
      </c>
      <c r="B388" s="423"/>
      <c r="C388" s="423"/>
      <c r="D388" s="165"/>
      <c r="E388" s="165"/>
      <c r="F388" s="165"/>
      <c r="G388" s="165"/>
      <c r="H388" s="165"/>
      <c r="I388" s="165"/>
      <c r="J388" s="165"/>
      <c r="K388" s="165"/>
      <c r="L388" s="165"/>
      <c r="M388" s="165"/>
      <c r="N388" s="165"/>
      <c r="O388" s="162"/>
      <c r="P388" s="162"/>
      <c r="R388" s="253"/>
      <c r="T388" s="165"/>
      <c r="W388" s="180"/>
      <c r="X388" s="188"/>
    </row>
    <row r="389" spans="1:24" ht="15.75" hidden="1">
      <c r="A389" s="160" t="s">
        <v>1028</v>
      </c>
      <c r="B389" s="160" t="s">
        <v>390</v>
      </c>
      <c r="C389" s="188"/>
      <c r="D389" s="165"/>
      <c r="E389" s="165">
        <v>38905</v>
      </c>
      <c r="F389" s="165"/>
      <c r="G389" s="165">
        <v>12695.27</v>
      </c>
      <c r="H389" s="165"/>
      <c r="I389" s="165">
        <v>5999.82</v>
      </c>
      <c r="J389" s="165"/>
      <c r="K389" s="165">
        <v>1972.8</v>
      </c>
      <c r="L389" s="165"/>
      <c r="M389" s="165">
        <v>0</v>
      </c>
      <c r="N389" s="165">
        <v>0</v>
      </c>
      <c r="O389" s="162">
        <v>0</v>
      </c>
      <c r="P389" s="162"/>
      <c r="R389" s="165"/>
      <c r="T389" s="165"/>
      <c r="W389" s="180"/>
      <c r="X389" s="188"/>
    </row>
    <row r="390" spans="1:24" ht="15.75" hidden="1">
      <c r="A390" s="160" t="s">
        <v>1029</v>
      </c>
      <c r="B390" s="160" t="s">
        <v>1008</v>
      </c>
      <c r="C390" s="188"/>
      <c r="D390" s="165"/>
      <c r="E390" s="165">
        <v>179000</v>
      </c>
      <c r="F390" s="165"/>
      <c r="G390" s="165">
        <v>0</v>
      </c>
      <c r="H390" s="165"/>
      <c r="I390" s="165">
        <v>8227.7999999999993</v>
      </c>
      <c r="J390" s="165"/>
      <c r="K390" s="165">
        <v>0</v>
      </c>
      <c r="L390" s="165"/>
      <c r="M390" s="165">
        <v>0</v>
      </c>
      <c r="N390" s="165">
        <v>0</v>
      </c>
      <c r="O390" s="162">
        <v>440</v>
      </c>
      <c r="P390" s="162"/>
      <c r="R390" s="165"/>
      <c r="T390" s="165"/>
      <c r="W390" s="180"/>
      <c r="X390" s="188"/>
    </row>
    <row r="391" spans="1:24" ht="15.75" hidden="1">
      <c r="A391" s="160" t="s">
        <v>1030</v>
      </c>
      <c r="B391" s="160" t="s">
        <v>178</v>
      </c>
      <c r="C391" s="188"/>
      <c r="D391" s="165"/>
      <c r="E391" s="165">
        <v>0</v>
      </c>
      <c r="F391" s="165"/>
      <c r="G391" s="165">
        <v>4753.93</v>
      </c>
      <c r="H391" s="165"/>
      <c r="I391" s="165">
        <v>130</v>
      </c>
      <c r="J391" s="165"/>
      <c r="K391" s="165">
        <v>0</v>
      </c>
      <c r="L391" s="165"/>
      <c r="M391" s="165">
        <v>3423.24</v>
      </c>
      <c r="N391" s="165">
        <v>0</v>
      </c>
      <c r="O391" s="162">
        <v>9225</v>
      </c>
      <c r="P391" s="162"/>
      <c r="R391" s="165"/>
      <c r="T391" s="165"/>
      <c r="W391" s="180"/>
      <c r="X391" s="188"/>
    </row>
    <row r="392" spans="1:24" ht="15.75" hidden="1">
      <c r="B392" s="172" t="s">
        <v>470</v>
      </c>
      <c r="C392" s="188"/>
      <c r="D392" s="332"/>
      <c r="E392" s="287">
        <f>SUM(E389:E391)</f>
        <v>217905</v>
      </c>
      <c r="F392" s="332"/>
      <c r="G392" s="287">
        <f>SUM(G389:G391)</f>
        <v>17449.2</v>
      </c>
      <c r="H392" s="332"/>
      <c r="I392" s="287">
        <f>SUM(I389:I391)</f>
        <v>14357.619999999999</v>
      </c>
      <c r="J392" s="332"/>
      <c r="K392" s="287">
        <f>SUM(K389:K391)</f>
        <v>1972.8</v>
      </c>
      <c r="L392" s="332"/>
      <c r="M392" s="287">
        <f t="shared" ref="M392:U392" si="57">SUM(M389:M391)</f>
        <v>3423.24</v>
      </c>
      <c r="N392" s="287">
        <f t="shared" si="57"/>
        <v>0</v>
      </c>
      <c r="O392" s="285">
        <f>SUM(O389:O391)</f>
        <v>9665</v>
      </c>
      <c r="P392" s="333">
        <f>SUM(P389:P391)</f>
        <v>0</v>
      </c>
      <c r="Q392" s="333">
        <f>SUM(Q389:Q391)</f>
        <v>0</v>
      </c>
      <c r="R392" s="242">
        <f t="shared" si="57"/>
        <v>0</v>
      </c>
      <c r="S392" s="242">
        <f t="shared" si="57"/>
        <v>0</v>
      </c>
      <c r="T392" s="242">
        <f t="shared" si="57"/>
        <v>0</v>
      </c>
      <c r="U392" s="242">
        <f t="shared" si="57"/>
        <v>0</v>
      </c>
      <c r="W392" s="180"/>
      <c r="X392" s="188"/>
    </row>
    <row r="393" spans="1:24" hidden="1">
      <c r="C393" s="160"/>
      <c r="D393" s="160"/>
      <c r="E393" s="160"/>
      <c r="F393" s="160"/>
      <c r="G393" s="160"/>
      <c r="H393" s="160"/>
      <c r="I393" s="160"/>
      <c r="J393" s="160"/>
      <c r="K393" s="160"/>
      <c r="L393" s="160"/>
      <c r="M393" s="160"/>
      <c r="N393" s="160"/>
      <c r="O393" s="160"/>
      <c r="P393" s="160"/>
      <c r="Q393" s="160"/>
      <c r="R393" s="160"/>
      <c r="S393" s="160"/>
      <c r="T393" s="160"/>
      <c r="U393" s="160"/>
      <c r="V393" s="181">
        <f>(U333-Q333)/Q333</f>
        <v>0.36363636363636365</v>
      </c>
      <c r="W393" s="180">
        <f>S333-Q333</f>
        <v>40000</v>
      </c>
    </row>
    <row r="394" spans="1:24" ht="15.75">
      <c r="A394" s="423" t="s">
        <v>1377</v>
      </c>
      <c r="B394" s="423"/>
      <c r="C394" s="423"/>
      <c r="G394" s="165"/>
      <c r="H394" s="165"/>
      <c r="I394" s="165"/>
      <c r="J394" s="165"/>
      <c r="K394" s="165"/>
      <c r="L394" s="165"/>
      <c r="M394" s="165"/>
      <c r="N394" s="165"/>
      <c r="O394" s="162"/>
      <c r="P394" s="162"/>
      <c r="Q394" s="193"/>
      <c r="R394" s="253"/>
      <c r="S394" s="193"/>
      <c r="T394" s="165"/>
      <c r="U394" s="193"/>
      <c r="W394" s="180">
        <f t="shared" ref="W394:W423" si="58">S394-Q394</f>
        <v>0</v>
      </c>
      <c r="X394" s="188"/>
    </row>
    <row r="395" spans="1:24" ht="15.75">
      <c r="A395" s="160" t="s">
        <v>547</v>
      </c>
      <c r="B395" s="160" t="s">
        <v>418</v>
      </c>
      <c r="C395" s="160"/>
      <c r="D395" s="165"/>
      <c r="E395" s="165">
        <v>14472</v>
      </c>
      <c r="F395" s="165"/>
      <c r="G395" s="165">
        <v>16632.099999999999</v>
      </c>
      <c r="H395" s="165"/>
      <c r="I395" s="165">
        <v>0</v>
      </c>
      <c r="J395" s="165"/>
      <c r="K395" s="165">
        <v>0</v>
      </c>
      <c r="L395" s="165"/>
      <c r="M395" s="165">
        <v>0</v>
      </c>
      <c r="N395" s="165"/>
      <c r="O395" s="162"/>
      <c r="P395" s="162">
        <v>26627.45</v>
      </c>
      <c r="Q395" s="165">
        <v>58694</v>
      </c>
      <c r="R395" s="165"/>
      <c r="S395" s="165">
        <v>27500</v>
      </c>
      <c r="T395" s="165"/>
      <c r="U395" s="165">
        <v>62585</v>
      </c>
      <c r="V395" s="181">
        <f>(U395-Q395)/Q395</f>
        <v>6.62929771356527E-2</v>
      </c>
      <c r="W395" s="180">
        <f t="shared" si="58"/>
        <v>-31194</v>
      </c>
      <c r="X395" s="188"/>
    </row>
    <row r="396" spans="1:24" ht="15.75">
      <c r="A396" s="160" t="s">
        <v>1093</v>
      </c>
      <c r="B396" s="160" t="s">
        <v>1240</v>
      </c>
      <c r="C396" s="160"/>
      <c r="D396" s="165"/>
      <c r="E396" s="165">
        <v>14472</v>
      </c>
      <c r="F396" s="165"/>
      <c r="G396" s="165">
        <v>16632.099999999999</v>
      </c>
      <c r="H396" s="165"/>
      <c r="I396" s="165">
        <v>0</v>
      </c>
      <c r="J396" s="165"/>
      <c r="K396" s="165">
        <v>22656</v>
      </c>
      <c r="L396" s="165"/>
      <c r="M396" s="165">
        <v>19779</v>
      </c>
      <c r="N396" s="165"/>
      <c r="O396" s="162">
        <v>36047.14</v>
      </c>
      <c r="P396" s="162">
        <v>11590.4</v>
      </c>
      <c r="Q396" s="165">
        <v>23296</v>
      </c>
      <c r="R396" s="165"/>
      <c r="S396" s="165">
        <v>23296</v>
      </c>
      <c r="T396" s="165"/>
      <c r="U396" s="165">
        <v>26624</v>
      </c>
      <c r="V396" s="181">
        <f t="shared" ref="V396:V419" si="59">(U396-Q396)/Q396</f>
        <v>0.14285714285714285</v>
      </c>
      <c r="W396" s="180">
        <f t="shared" si="58"/>
        <v>0</v>
      </c>
      <c r="X396" s="188"/>
    </row>
    <row r="397" spans="1:24">
      <c r="A397" s="160" t="s">
        <v>889</v>
      </c>
      <c r="B397" s="160" t="s">
        <v>1253</v>
      </c>
      <c r="C397" s="160"/>
      <c r="D397" s="165"/>
      <c r="E397" s="165">
        <v>83</v>
      </c>
      <c r="F397" s="165"/>
      <c r="G397" s="165">
        <v>325.14</v>
      </c>
      <c r="H397" s="165"/>
      <c r="I397" s="165">
        <v>0</v>
      </c>
      <c r="J397" s="165"/>
      <c r="K397" s="165">
        <v>1049.1600000000001</v>
      </c>
      <c r="L397" s="165"/>
      <c r="M397" s="165">
        <v>1454.25</v>
      </c>
      <c r="N397" s="165"/>
      <c r="O397" s="162">
        <v>411.84</v>
      </c>
      <c r="P397" s="162">
        <v>165.12</v>
      </c>
      <c r="Q397" s="165">
        <v>500</v>
      </c>
      <c r="R397" s="165"/>
      <c r="S397" s="165">
        <v>2000</v>
      </c>
      <c r="T397" s="165"/>
      <c r="U397" s="165">
        <v>2000</v>
      </c>
      <c r="V397" s="181">
        <f t="shared" si="59"/>
        <v>3</v>
      </c>
      <c r="W397" s="180">
        <f t="shared" si="58"/>
        <v>1500</v>
      </c>
    </row>
    <row r="398" spans="1:24">
      <c r="A398" s="160" t="s">
        <v>1319</v>
      </c>
      <c r="B398" s="160" t="s">
        <v>783</v>
      </c>
      <c r="C398" s="160"/>
      <c r="D398" s="165"/>
      <c r="E398" s="165"/>
      <c r="F398" s="165"/>
      <c r="G398" s="165"/>
      <c r="H398" s="165"/>
      <c r="I398" s="165"/>
      <c r="J398" s="165"/>
      <c r="K398" s="165"/>
      <c r="L398" s="165"/>
      <c r="M398" s="165"/>
      <c r="N398" s="165"/>
      <c r="O398" s="162"/>
      <c r="P398" s="162">
        <v>2349.8000000000002</v>
      </c>
      <c r="Q398" s="165">
        <v>4000</v>
      </c>
      <c r="R398" s="165"/>
      <c r="S398" s="165">
        <v>1500</v>
      </c>
      <c r="T398" s="165"/>
      <c r="U398" s="165">
        <v>2000</v>
      </c>
      <c r="V398" s="181">
        <f t="shared" si="59"/>
        <v>-0.5</v>
      </c>
      <c r="W398" s="180">
        <f t="shared" si="58"/>
        <v>-2500</v>
      </c>
    </row>
    <row r="399" spans="1:24">
      <c r="A399" s="161" t="s">
        <v>220</v>
      </c>
      <c r="B399" s="160" t="s">
        <v>105</v>
      </c>
      <c r="C399" s="160"/>
      <c r="D399" s="165"/>
      <c r="E399" s="165">
        <v>221</v>
      </c>
      <c r="F399" s="165"/>
      <c r="G399" s="165">
        <v>0</v>
      </c>
      <c r="H399" s="165"/>
      <c r="I399" s="165">
        <v>0</v>
      </c>
      <c r="J399" s="165"/>
      <c r="K399" s="165">
        <v>0</v>
      </c>
      <c r="L399" s="165"/>
      <c r="M399" s="165">
        <v>0</v>
      </c>
      <c r="N399" s="165"/>
      <c r="O399" s="162"/>
      <c r="P399" s="162">
        <v>1768.74</v>
      </c>
      <c r="Q399" s="165">
        <v>3887</v>
      </c>
      <c r="R399" s="165"/>
      <c r="S399" s="165">
        <v>2400</v>
      </c>
      <c r="T399" s="165"/>
      <c r="U399" s="165">
        <v>4004</v>
      </c>
      <c r="V399" s="181">
        <f t="shared" si="59"/>
        <v>3.0100334448160536E-2</v>
      </c>
      <c r="W399" s="180">
        <f t="shared" si="58"/>
        <v>-1487</v>
      </c>
    </row>
    <row r="400" spans="1:24" ht="15.75">
      <c r="A400" s="161" t="s">
        <v>221</v>
      </c>
      <c r="B400" s="160" t="s">
        <v>67</v>
      </c>
      <c r="C400" s="160"/>
      <c r="D400" s="193"/>
      <c r="E400" s="165">
        <v>52</v>
      </c>
      <c r="F400" s="193"/>
      <c r="G400" s="165">
        <v>0</v>
      </c>
      <c r="H400" s="193"/>
      <c r="I400" s="165">
        <v>0</v>
      </c>
      <c r="J400" s="193"/>
      <c r="K400" s="165">
        <v>0</v>
      </c>
      <c r="L400" s="193"/>
      <c r="M400" s="165">
        <v>0</v>
      </c>
      <c r="N400" s="165"/>
      <c r="O400" s="162"/>
      <c r="P400" s="162">
        <v>413.64</v>
      </c>
      <c r="Q400" s="165">
        <v>909</v>
      </c>
      <c r="R400" s="165"/>
      <c r="S400" s="165">
        <v>450</v>
      </c>
      <c r="T400" s="193"/>
      <c r="U400" s="165">
        <v>936</v>
      </c>
      <c r="V400" s="181">
        <f t="shared" si="59"/>
        <v>2.9702970297029702E-2</v>
      </c>
      <c r="W400" s="180">
        <f t="shared" si="58"/>
        <v>-459</v>
      </c>
    </row>
    <row r="401" spans="1:60">
      <c r="A401" s="161" t="s">
        <v>222</v>
      </c>
      <c r="B401" s="160" t="s">
        <v>68</v>
      </c>
      <c r="C401" s="160"/>
      <c r="D401" s="165"/>
      <c r="E401" s="165">
        <v>0</v>
      </c>
      <c r="F401" s="165"/>
      <c r="G401" s="165">
        <v>0</v>
      </c>
      <c r="H401" s="165"/>
      <c r="I401" s="165">
        <v>0</v>
      </c>
      <c r="J401" s="165"/>
      <c r="K401" s="165">
        <v>0</v>
      </c>
      <c r="L401" s="165"/>
      <c r="M401" s="165">
        <v>0</v>
      </c>
      <c r="N401" s="165"/>
      <c r="O401" s="162"/>
      <c r="P401" s="162">
        <v>5303.55</v>
      </c>
      <c r="Q401" s="165">
        <v>11009</v>
      </c>
      <c r="R401" s="165"/>
      <c r="S401" s="165">
        <v>6500</v>
      </c>
      <c r="T401" s="165"/>
      <c r="U401" s="165">
        <v>11890</v>
      </c>
      <c r="V401" s="181">
        <f t="shared" si="59"/>
        <v>8.0025433736034157E-2</v>
      </c>
      <c r="W401" s="180">
        <f t="shared" si="58"/>
        <v>-4509</v>
      </c>
    </row>
    <row r="402" spans="1:60" ht="15.75">
      <c r="A402" s="161" t="s">
        <v>223</v>
      </c>
      <c r="B402" s="160" t="s">
        <v>69</v>
      </c>
      <c r="C402" s="160"/>
      <c r="D402" s="165"/>
      <c r="E402" s="165">
        <v>19</v>
      </c>
      <c r="F402" s="165"/>
      <c r="G402" s="165">
        <v>0</v>
      </c>
      <c r="H402" s="165"/>
      <c r="I402" s="165">
        <v>0</v>
      </c>
      <c r="J402" s="165"/>
      <c r="K402" s="165">
        <v>0</v>
      </c>
      <c r="L402" s="165"/>
      <c r="M402" s="165">
        <v>0</v>
      </c>
      <c r="N402" s="165"/>
      <c r="O402" s="162"/>
      <c r="P402" s="162">
        <v>156.91</v>
      </c>
      <c r="Q402" s="165">
        <v>504</v>
      </c>
      <c r="R402" s="165"/>
      <c r="S402" s="165">
        <v>20</v>
      </c>
      <c r="T402" s="165"/>
      <c r="U402" s="165">
        <v>180</v>
      </c>
      <c r="V402" s="181">
        <f t="shared" si="59"/>
        <v>-0.6428571428571429</v>
      </c>
      <c r="W402" s="180">
        <f t="shared" si="58"/>
        <v>-484</v>
      </c>
      <c r="X402" s="188"/>
    </row>
    <row r="403" spans="1:60">
      <c r="A403" s="161" t="s">
        <v>224</v>
      </c>
      <c r="B403" s="160" t="s">
        <v>70</v>
      </c>
      <c r="C403" s="160"/>
      <c r="D403" s="165"/>
      <c r="E403" s="165">
        <v>192</v>
      </c>
      <c r="F403" s="165"/>
      <c r="G403" s="165">
        <v>0</v>
      </c>
      <c r="H403" s="165"/>
      <c r="I403" s="165">
        <v>0</v>
      </c>
      <c r="J403" s="165"/>
      <c r="K403" s="165">
        <v>0</v>
      </c>
      <c r="L403" s="165"/>
      <c r="M403" s="165">
        <v>0</v>
      </c>
      <c r="N403" s="165"/>
      <c r="O403" s="162"/>
      <c r="P403" s="162">
        <v>2146.14</v>
      </c>
      <c r="Q403" s="165">
        <v>463</v>
      </c>
      <c r="R403" s="165"/>
      <c r="S403" s="165">
        <v>2000</v>
      </c>
      <c r="T403" s="165"/>
      <c r="U403" s="165">
        <v>4528</v>
      </c>
      <c r="V403" s="181">
        <f t="shared" si="59"/>
        <v>8.7796976241900655</v>
      </c>
      <c r="W403" s="180">
        <f t="shared" si="58"/>
        <v>1537</v>
      </c>
    </row>
    <row r="404" spans="1:60">
      <c r="A404" s="161" t="s">
        <v>225</v>
      </c>
      <c r="B404" s="160" t="s">
        <v>106</v>
      </c>
      <c r="C404" s="160"/>
      <c r="D404" s="253"/>
      <c r="E404" s="165">
        <v>629</v>
      </c>
      <c r="F404" s="253"/>
      <c r="G404" s="165">
        <v>-2138.58</v>
      </c>
      <c r="H404" s="253"/>
      <c r="I404" s="165">
        <v>-3686</v>
      </c>
      <c r="J404" s="253"/>
      <c r="K404" s="165">
        <v>0</v>
      </c>
      <c r="L404" s="253"/>
      <c r="M404" s="165">
        <v>0</v>
      </c>
      <c r="N404" s="165"/>
      <c r="O404" s="162"/>
      <c r="P404" s="162">
        <v>753.28</v>
      </c>
      <c r="Q404" s="165">
        <v>1602</v>
      </c>
      <c r="R404" s="165"/>
      <c r="S404" s="165">
        <v>730</v>
      </c>
      <c r="T404" s="253"/>
      <c r="U404" s="165">
        <v>1674</v>
      </c>
      <c r="V404" s="181">
        <f t="shared" si="59"/>
        <v>4.49438202247191E-2</v>
      </c>
      <c r="W404" s="180">
        <f t="shared" si="58"/>
        <v>-872</v>
      </c>
    </row>
    <row r="405" spans="1:60">
      <c r="A405" s="161" t="s">
        <v>544</v>
      </c>
      <c r="B405" s="160" t="s">
        <v>392</v>
      </c>
      <c r="C405" s="160"/>
      <c r="D405" s="253"/>
      <c r="E405" s="165">
        <v>40</v>
      </c>
      <c r="F405" s="253"/>
      <c r="G405" s="165">
        <v>0</v>
      </c>
      <c r="H405" s="253"/>
      <c r="I405" s="165">
        <v>0</v>
      </c>
      <c r="J405" s="253"/>
      <c r="K405" s="165">
        <v>0</v>
      </c>
      <c r="L405" s="253"/>
      <c r="M405" s="165">
        <v>0</v>
      </c>
      <c r="N405" s="165"/>
      <c r="O405" s="162"/>
      <c r="P405" s="162">
        <v>45</v>
      </c>
      <c r="Q405" s="165">
        <v>86</v>
      </c>
      <c r="R405" s="165"/>
      <c r="S405" s="165">
        <v>48</v>
      </c>
      <c r="T405" s="253"/>
      <c r="U405" s="165">
        <v>82</v>
      </c>
      <c r="V405" s="181">
        <f t="shared" si="59"/>
        <v>-4.6511627906976744E-2</v>
      </c>
      <c r="W405" s="180">
        <f t="shared" si="58"/>
        <v>-38</v>
      </c>
    </row>
    <row r="406" spans="1:60">
      <c r="A406" s="160" t="s">
        <v>548</v>
      </c>
      <c r="B406" s="160" t="s">
        <v>420</v>
      </c>
      <c r="C406" s="160"/>
      <c r="D406" s="165"/>
      <c r="E406" s="165">
        <v>2208</v>
      </c>
      <c r="F406" s="165"/>
      <c r="G406" s="165">
        <v>2299.58</v>
      </c>
      <c r="H406" s="165"/>
      <c r="I406" s="165">
        <v>1095.26</v>
      </c>
      <c r="J406" s="165"/>
      <c r="K406" s="165">
        <v>928.54</v>
      </c>
      <c r="L406" s="165"/>
      <c r="M406" s="165">
        <v>2207.2199999999998</v>
      </c>
      <c r="N406" s="165">
        <v>1531.02</v>
      </c>
      <c r="O406" s="162">
        <v>2423.9299999999998</v>
      </c>
      <c r="P406" s="162">
        <v>2575.7199999999998</v>
      </c>
      <c r="Q406" s="165">
        <v>2500</v>
      </c>
      <c r="R406" s="165"/>
      <c r="S406" s="165">
        <v>4200</v>
      </c>
      <c r="T406" s="165"/>
      <c r="U406" s="165">
        <v>3500</v>
      </c>
      <c r="V406" s="181">
        <f t="shared" si="59"/>
        <v>0.4</v>
      </c>
      <c r="W406" s="180">
        <f t="shared" si="58"/>
        <v>1700</v>
      </c>
    </row>
    <row r="407" spans="1:60" s="198" customFormat="1">
      <c r="A407" s="160" t="s">
        <v>549</v>
      </c>
      <c r="B407" s="160" t="s">
        <v>428</v>
      </c>
      <c r="D407" s="402"/>
      <c r="E407" s="165">
        <v>45445</v>
      </c>
      <c r="F407" s="402"/>
      <c r="G407" s="165">
        <v>49415.87</v>
      </c>
      <c r="H407" s="402"/>
      <c r="I407" s="165">
        <v>51206.07</v>
      </c>
      <c r="J407" s="402"/>
      <c r="K407" s="165">
        <v>61100.45</v>
      </c>
      <c r="L407" s="402"/>
      <c r="M407" s="165">
        <v>59655.47</v>
      </c>
      <c r="N407" s="165">
        <v>55373.11</v>
      </c>
      <c r="O407" s="162">
        <v>75358.44</v>
      </c>
      <c r="P407" s="162">
        <v>91789.64</v>
      </c>
      <c r="Q407" s="165">
        <v>96000</v>
      </c>
      <c r="R407" s="165"/>
      <c r="S407" s="165">
        <v>98000</v>
      </c>
      <c r="T407" s="402"/>
      <c r="U407" s="165">
        <v>98000</v>
      </c>
      <c r="V407" s="181">
        <f t="shared" si="59"/>
        <v>2.0833333333333332E-2</v>
      </c>
      <c r="W407" s="180">
        <f t="shared" si="58"/>
        <v>2000</v>
      </c>
      <c r="X407" s="160"/>
      <c r="Y407" s="160"/>
      <c r="Z407" s="160"/>
      <c r="AA407" s="160"/>
      <c r="AB407" s="160"/>
      <c r="AC407" s="160"/>
      <c r="AD407" s="160"/>
      <c r="AE407" s="160"/>
      <c r="AF407" s="160"/>
      <c r="AG407" s="160"/>
      <c r="AH407" s="160"/>
      <c r="AI407" s="160"/>
      <c r="AJ407" s="160"/>
      <c r="AK407" s="160"/>
      <c r="AL407" s="160"/>
      <c r="AM407" s="160"/>
      <c r="AN407" s="160"/>
      <c r="AO407" s="160"/>
      <c r="AP407" s="160"/>
      <c r="AQ407" s="160"/>
      <c r="AR407" s="160"/>
      <c r="AS407" s="160"/>
      <c r="AT407" s="160"/>
      <c r="AU407" s="160"/>
      <c r="AV407" s="160"/>
      <c r="AW407" s="160"/>
      <c r="AX407" s="160"/>
      <c r="AY407" s="160"/>
      <c r="AZ407" s="160"/>
      <c r="BA407" s="160"/>
      <c r="BB407" s="160"/>
      <c r="BC407" s="160"/>
      <c r="BD407" s="160"/>
      <c r="BE407" s="160"/>
      <c r="BF407" s="160"/>
      <c r="BG407" s="160"/>
      <c r="BH407" s="160"/>
    </row>
    <row r="408" spans="1:60" ht="15.75">
      <c r="A408" s="161" t="s">
        <v>550</v>
      </c>
      <c r="B408" s="160" t="s">
        <v>423</v>
      </c>
      <c r="C408" s="160"/>
      <c r="D408" s="165"/>
      <c r="E408" s="165">
        <v>2618</v>
      </c>
      <c r="F408" s="165"/>
      <c r="G408" s="165">
        <v>1156.6199999999999</v>
      </c>
      <c r="H408" s="165"/>
      <c r="I408" s="165">
        <v>2474.9</v>
      </c>
      <c r="J408" s="165"/>
      <c r="K408" s="165">
        <v>1507.79</v>
      </c>
      <c r="L408" s="165"/>
      <c r="M408" s="165">
        <v>1696.38</v>
      </c>
      <c r="N408" s="165">
        <v>111.33</v>
      </c>
      <c r="O408" s="162">
        <v>5923.05</v>
      </c>
      <c r="P408" s="162">
        <v>8970.61</v>
      </c>
      <c r="Q408" s="165">
        <v>12000</v>
      </c>
      <c r="R408" s="165"/>
      <c r="S408" s="165">
        <v>7000</v>
      </c>
      <c r="T408" s="165"/>
      <c r="U408" s="165">
        <v>10000</v>
      </c>
      <c r="V408" s="181">
        <f t="shared" si="59"/>
        <v>-0.16666666666666666</v>
      </c>
      <c r="W408" s="180">
        <f t="shared" si="58"/>
        <v>-5000</v>
      </c>
      <c r="X408" s="188"/>
    </row>
    <row r="409" spans="1:60" ht="15.75">
      <c r="A409" s="161" t="s">
        <v>551</v>
      </c>
      <c r="B409" s="160" t="s">
        <v>1388</v>
      </c>
      <c r="C409" s="160"/>
      <c r="D409" s="165"/>
      <c r="E409" s="165">
        <v>1712</v>
      </c>
      <c r="F409" s="165"/>
      <c r="G409" s="165">
        <v>4443.43</v>
      </c>
      <c r="H409" s="165"/>
      <c r="I409" s="165">
        <v>453.7</v>
      </c>
      <c r="J409" s="165"/>
      <c r="K409" s="165">
        <v>821.38</v>
      </c>
      <c r="L409" s="165"/>
      <c r="M409" s="165">
        <v>354.68</v>
      </c>
      <c r="N409" s="165">
        <v>593.97</v>
      </c>
      <c r="O409" s="162">
        <v>3200.69</v>
      </c>
      <c r="P409" s="162">
        <v>3805.25</v>
      </c>
      <c r="Q409" s="165">
        <v>4000</v>
      </c>
      <c r="R409" s="165"/>
      <c r="S409" s="165">
        <v>4000</v>
      </c>
      <c r="T409" s="165"/>
      <c r="U409" s="165">
        <v>4000</v>
      </c>
      <c r="V409" s="181">
        <f t="shared" si="59"/>
        <v>0</v>
      </c>
      <c r="W409" s="180">
        <f t="shared" si="58"/>
        <v>0</v>
      </c>
      <c r="X409" s="188"/>
    </row>
    <row r="410" spans="1:60" ht="15.75">
      <c r="A410" s="161" t="s">
        <v>1005</v>
      </c>
      <c r="B410" s="160" t="s">
        <v>72</v>
      </c>
      <c r="C410" s="160"/>
      <c r="D410" s="165"/>
      <c r="E410" s="165">
        <v>1712</v>
      </c>
      <c r="F410" s="165"/>
      <c r="G410" s="165">
        <v>4443.43</v>
      </c>
      <c r="H410" s="165"/>
      <c r="I410" s="165">
        <v>453.7</v>
      </c>
      <c r="J410" s="165"/>
      <c r="K410" s="165">
        <v>821.38</v>
      </c>
      <c r="L410" s="165"/>
      <c r="M410" s="165">
        <v>354.68</v>
      </c>
      <c r="N410" s="165">
        <v>0</v>
      </c>
      <c r="O410" s="162"/>
      <c r="P410" s="162">
        <v>1245</v>
      </c>
      <c r="Q410" s="165">
        <v>1500</v>
      </c>
      <c r="R410" s="165"/>
      <c r="S410" s="165">
        <v>1845</v>
      </c>
      <c r="T410" s="165"/>
      <c r="U410" s="165">
        <v>2000</v>
      </c>
      <c r="V410" s="181">
        <f t="shared" si="59"/>
        <v>0.33333333333333331</v>
      </c>
      <c r="W410" s="180">
        <f t="shared" si="58"/>
        <v>345</v>
      </c>
      <c r="X410" s="188"/>
    </row>
    <row r="411" spans="1:60" ht="15.75">
      <c r="A411" s="161" t="s">
        <v>1320</v>
      </c>
      <c r="B411" s="160" t="s">
        <v>373</v>
      </c>
      <c r="C411" s="160"/>
      <c r="D411" s="165"/>
      <c r="E411" s="165"/>
      <c r="F411" s="165"/>
      <c r="G411" s="165"/>
      <c r="H411" s="165"/>
      <c r="I411" s="165"/>
      <c r="J411" s="165"/>
      <c r="K411" s="165"/>
      <c r="L411" s="165"/>
      <c r="M411" s="165"/>
      <c r="N411" s="165"/>
      <c r="O411" s="162"/>
      <c r="P411" s="162">
        <v>11992</v>
      </c>
      <c r="Q411" s="165">
        <v>12500</v>
      </c>
      <c r="R411" s="165"/>
      <c r="S411" s="165">
        <v>20000</v>
      </c>
      <c r="T411" s="165"/>
      <c r="U411" s="165">
        <v>12000</v>
      </c>
      <c r="V411" s="181">
        <f t="shared" si="59"/>
        <v>-0.04</v>
      </c>
      <c r="W411" s="180">
        <f t="shared" si="58"/>
        <v>7500</v>
      </c>
      <c r="X411" s="188"/>
    </row>
    <row r="412" spans="1:60">
      <c r="A412" s="160" t="s">
        <v>552</v>
      </c>
      <c r="B412" s="160" t="s">
        <v>429</v>
      </c>
      <c r="C412" s="160"/>
      <c r="D412" s="165"/>
      <c r="E412" s="165">
        <v>3326</v>
      </c>
      <c r="F412" s="165"/>
      <c r="G412" s="165">
        <v>5308.96</v>
      </c>
      <c r="H412" s="165"/>
      <c r="I412" s="165">
        <v>2958.95</v>
      </c>
      <c r="J412" s="165"/>
      <c r="K412" s="165">
        <v>16132.67</v>
      </c>
      <c r="L412" s="165"/>
      <c r="M412" s="165">
        <v>3384.54</v>
      </c>
      <c r="N412" s="165">
        <v>15263.69</v>
      </c>
      <c r="O412" s="162">
        <v>11159.1</v>
      </c>
      <c r="P412" s="162">
        <v>29273.52</v>
      </c>
      <c r="Q412" s="165">
        <v>30000</v>
      </c>
      <c r="R412" s="165"/>
      <c r="S412" s="165">
        <v>30000</v>
      </c>
      <c r="T412" s="165"/>
      <c r="U412" s="165">
        <v>30000</v>
      </c>
      <c r="V412" s="181">
        <f t="shared" si="59"/>
        <v>0</v>
      </c>
      <c r="W412" s="180">
        <f t="shared" si="58"/>
        <v>0</v>
      </c>
    </row>
    <row r="413" spans="1:60">
      <c r="A413" s="160" t="s">
        <v>553</v>
      </c>
      <c r="B413" s="160" t="s">
        <v>430</v>
      </c>
      <c r="C413" s="160"/>
      <c r="D413" s="165"/>
      <c r="E413" s="165">
        <v>1104</v>
      </c>
      <c r="F413" s="165"/>
      <c r="G413" s="165">
        <v>1963.76</v>
      </c>
      <c r="H413" s="165"/>
      <c r="I413" s="165">
        <v>1677.92</v>
      </c>
      <c r="J413" s="165"/>
      <c r="K413" s="165">
        <v>9559.2000000000007</v>
      </c>
      <c r="L413" s="165"/>
      <c r="M413" s="165">
        <v>7702.94</v>
      </c>
      <c r="N413" s="165">
        <v>7371.15</v>
      </c>
      <c r="O413" s="162">
        <v>2894.9</v>
      </c>
      <c r="P413" s="162">
        <v>5001.43</v>
      </c>
      <c r="Q413" s="165">
        <v>5000</v>
      </c>
      <c r="R413" s="165"/>
      <c r="S413" s="165">
        <v>7000</v>
      </c>
      <c r="T413" s="165"/>
      <c r="U413" s="165">
        <v>5000</v>
      </c>
      <c r="V413" s="181">
        <f t="shared" si="59"/>
        <v>0</v>
      </c>
      <c r="W413" s="180">
        <f t="shared" si="58"/>
        <v>2000</v>
      </c>
    </row>
    <row r="414" spans="1:60">
      <c r="A414" s="160" t="s">
        <v>554</v>
      </c>
      <c r="B414" s="160" t="s">
        <v>425</v>
      </c>
      <c r="C414" s="160"/>
      <c r="D414" s="165"/>
      <c r="E414" s="165">
        <v>1130</v>
      </c>
      <c r="F414" s="165"/>
      <c r="G414" s="165">
        <v>2840.65</v>
      </c>
      <c r="H414" s="165"/>
      <c r="I414" s="165">
        <v>2252.81</v>
      </c>
      <c r="J414" s="165"/>
      <c r="K414" s="165">
        <v>671.33</v>
      </c>
      <c r="L414" s="165"/>
      <c r="M414" s="165">
        <v>2664.91</v>
      </c>
      <c r="N414" s="165">
        <v>1578.88</v>
      </c>
      <c r="O414" s="162">
        <v>2377.56</v>
      </c>
      <c r="P414" s="162">
        <v>5975.2</v>
      </c>
      <c r="Q414" s="165">
        <v>5000</v>
      </c>
      <c r="R414" s="165"/>
      <c r="S414" s="165">
        <v>11000</v>
      </c>
      <c r="T414" s="165"/>
      <c r="U414" s="165">
        <v>7500</v>
      </c>
      <c r="V414" s="181">
        <f t="shared" si="59"/>
        <v>0.5</v>
      </c>
      <c r="W414" s="180">
        <f t="shared" si="58"/>
        <v>6000</v>
      </c>
    </row>
    <row r="415" spans="1:60">
      <c r="A415" s="161" t="s">
        <v>639</v>
      </c>
      <c r="B415" s="160" t="s">
        <v>389</v>
      </c>
      <c r="C415" s="160"/>
      <c r="D415" s="165"/>
      <c r="E415" s="165">
        <v>1722</v>
      </c>
      <c r="F415" s="165"/>
      <c r="G415" s="165">
        <v>1477.22</v>
      </c>
      <c r="H415" s="165"/>
      <c r="I415" s="165">
        <v>1541.26</v>
      </c>
      <c r="J415" s="165"/>
      <c r="K415" s="165">
        <v>1299</v>
      </c>
      <c r="L415" s="165"/>
      <c r="M415" s="165">
        <v>1236.73</v>
      </c>
      <c r="N415" s="165">
        <v>1241.26</v>
      </c>
      <c r="O415" s="162">
        <v>2289.88</v>
      </c>
      <c r="P415" s="162">
        <v>4069.66</v>
      </c>
      <c r="Q415" s="165">
        <v>4100</v>
      </c>
      <c r="R415" s="165"/>
      <c r="S415" s="165">
        <v>4100</v>
      </c>
      <c r="T415" s="165"/>
      <c r="U415" s="165">
        <v>4100</v>
      </c>
      <c r="V415" s="181">
        <f t="shared" si="59"/>
        <v>0</v>
      </c>
      <c r="W415" s="180">
        <f t="shared" si="58"/>
        <v>0</v>
      </c>
    </row>
    <row r="416" spans="1:60">
      <c r="A416" s="161" t="s">
        <v>727</v>
      </c>
      <c r="B416" s="160" t="s">
        <v>606</v>
      </c>
      <c r="C416" s="160"/>
      <c r="D416" s="165"/>
      <c r="E416" s="165">
        <v>12973</v>
      </c>
      <c r="F416" s="165"/>
      <c r="G416" s="165">
        <v>0</v>
      </c>
      <c r="H416" s="165"/>
      <c r="I416" s="165">
        <v>0</v>
      </c>
      <c r="J416" s="165"/>
      <c r="K416" s="165">
        <v>10000</v>
      </c>
      <c r="L416" s="165"/>
      <c r="M416" s="165">
        <v>7700</v>
      </c>
      <c r="N416" s="165">
        <v>390535.11</v>
      </c>
      <c r="O416" s="162">
        <v>0</v>
      </c>
      <c r="P416" s="162">
        <v>31299</v>
      </c>
      <c r="Q416" s="165">
        <v>0</v>
      </c>
      <c r="R416" s="165"/>
      <c r="S416" s="165">
        <v>0</v>
      </c>
      <c r="T416" s="165"/>
      <c r="U416" s="165">
        <v>0</v>
      </c>
      <c r="V416" s="181">
        <v>0</v>
      </c>
      <c r="W416" s="180">
        <f t="shared" si="58"/>
        <v>0</v>
      </c>
    </row>
    <row r="417" spans="1:26">
      <c r="A417" s="161" t="s">
        <v>1153</v>
      </c>
      <c r="B417" s="160" t="s">
        <v>1133</v>
      </c>
      <c r="C417" s="160"/>
      <c r="D417" s="165"/>
      <c r="E417" s="165">
        <v>12973</v>
      </c>
      <c r="F417" s="165"/>
      <c r="G417" s="165">
        <v>0</v>
      </c>
      <c r="H417" s="165"/>
      <c r="I417" s="165">
        <v>0</v>
      </c>
      <c r="J417" s="165"/>
      <c r="K417" s="165">
        <v>10000</v>
      </c>
      <c r="L417" s="165"/>
      <c r="M417" s="165">
        <v>7700</v>
      </c>
      <c r="N417" s="165">
        <v>390535.11</v>
      </c>
      <c r="O417" s="162">
        <v>0</v>
      </c>
      <c r="P417" s="162">
        <v>62837</v>
      </c>
      <c r="Q417" s="165">
        <v>0</v>
      </c>
      <c r="R417" s="165"/>
      <c r="S417" s="165">
        <v>70963.44</v>
      </c>
      <c r="T417" s="165"/>
      <c r="U417" s="165">
        <v>0</v>
      </c>
      <c r="V417" s="181">
        <v>0</v>
      </c>
      <c r="W417" s="180">
        <f t="shared" si="58"/>
        <v>70963.44</v>
      </c>
    </row>
    <row r="418" spans="1:26">
      <c r="A418" s="161" t="s">
        <v>1154</v>
      </c>
      <c r="B418" s="160" t="s">
        <v>1145</v>
      </c>
      <c r="C418" s="160"/>
      <c r="D418" s="165"/>
      <c r="E418" s="165">
        <v>12973</v>
      </c>
      <c r="F418" s="165"/>
      <c r="G418" s="165">
        <v>0</v>
      </c>
      <c r="H418" s="165"/>
      <c r="I418" s="165">
        <v>0</v>
      </c>
      <c r="J418" s="165"/>
      <c r="K418" s="165">
        <v>10000</v>
      </c>
      <c r="L418" s="165"/>
      <c r="M418" s="165">
        <v>7700</v>
      </c>
      <c r="N418" s="165">
        <v>390535.11</v>
      </c>
      <c r="O418" s="162">
        <v>0</v>
      </c>
      <c r="P418" s="162">
        <v>119875.7</v>
      </c>
      <c r="Q418" s="165">
        <v>85661</v>
      </c>
      <c r="R418" s="165"/>
      <c r="S418" s="165">
        <v>34900</v>
      </c>
      <c r="T418" s="165"/>
      <c r="U418" s="165">
        <v>93764</v>
      </c>
      <c r="V418" s="181">
        <f t="shared" si="59"/>
        <v>9.4593805815948909E-2</v>
      </c>
      <c r="W418" s="180">
        <f t="shared" si="58"/>
        <v>-50761</v>
      </c>
    </row>
    <row r="419" spans="1:26">
      <c r="A419" s="161" t="s">
        <v>555</v>
      </c>
      <c r="B419" s="160" t="s">
        <v>431</v>
      </c>
      <c r="C419" s="160"/>
      <c r="D419" s="165"/>
      <c r="E419" s="165">
        <v>290</v>
      </c>
      <c r="F419" s="165"/>
      <c r="G419" s="165">
        <v>1305.8900000000001</v>
      </c>
      <c r="H419" s="165"/>
      <c r="I419" s="165">
        <v>0</v>
      </c>
      <c r="J419" s="165"/>
      <c r="K419" s="165">
        <v>1257.05</v>
      </c>
      <c r="L419" s="165"/>
      <c r="M419" s="165">
        <v>899.1</v>
      </c>
      <c r="N419" s="165">
        <v>635</v>
      </c>
      <c r="O419" s="162">
        <v>1218.27</v>
      </c>
      <c r="P419" s="162">
        <v>4997.75</v>
      </c>
      <c r="Q419" s="165">
        <v>7500</v>
      </c>
      <c r="R419" s="165"/>
      <c r="S419" s="165">
        <v>5000</v>
      </c>
      <c r="T419" s="165"/>
      <c r="U419" s="165">
        <v>0</v>
      </c>
      <c r="V419" s="181">
        <f t="shared" si="59"/>
        <v>-1</v>
      </c>
      <c r="W419" s="180">
        <f t="shared" si="58"/>
        <v>-2500</v>
      </c>
    </row>
    <row r="420" spans="1:26" ht="15.75" hidden="1">
      <c r="A420" s="161" t="s">
        <v>1079</v>
      </c>
      <c r="B420" s="160" t="s">
        <v>1076</v>
      </c>
      <c r="C420" s="160"/>
      <c r="D420" s="193"/>
      <c r="E420" s="165">
        <v>1543</v>
      </c>
      <c r="F420" s="193"/>
      <c r="G420" s="165">
        <v>23147.19</v>
      </c>
      <c r="H420" s="193"/>
      <c r="I420" s="165">
        <v>27433.8</v>
      </c>
      <c r="J420" s="193"/>
      <c r="K420" s="165">
        <v>0</v>
      </c>
      <c r="L420" s="193"/>
      <c r="M420" s="165">
        <v>0</v>
      </c>
      <c r="N420" s="165"/>
      <c r="O420" s="162">
        <v>23334.89</v>
      </c>
      <c r="P420" s="162"/>
      <c r="R420" s="165"/>
      <c r="T420" s="193"/>
      <c r="V420" s="181">
        <v>0</v>
      </c>
      <c r="W420" s="180">
        <f t="shared" si="58"/>
        <v>0</v>
      </c>
      <c r="Z420" s="196"/>
    </row>
    <row r="421" spans="1:26" ht="15.75" hidden="1">
      <c r="A421" s="161" t="s">
        <v>1080</v>
      </c>
      <c r="B421" s="160" t="s">
        <v>1077</v>
      </c>
      <c r="C421" s="160"/>
      <c r="D421" s="193"/>
      <c r="E421" s="165">
        <v>1543</v>
      </c>
      <c r="F421" s="193"/>
      <c r="G421" s="165">
        <v>4188.46</v>
      </c>
      <c r="H421" s="193"/>
      <c r="I421" s="165">
        <v>3039.12</v>
      </c>
      <c r="J421" s="193"/>
      <c r="K421" s="165">
        <v>0</v>
      </c>
      <c r="L421" s="193"/>
      <c r="M421" s="165">
        <v>0</v>
      </c>
      <c r="N421" s="165"/>
      <c r="O421" s="162">
        <v>653.97</v>
      </c>
      <c r="P421" s="162"/>
      <c r="R421" s="165"/>
      <c r="T421" s="193"/>
      <c r="V421" s="181">
        <v>0</v>
      </c>
      <c r="W421" s="180">
        <f t="shared" si="58"/>
        <v>0</v>
      </c>
      <c r="Z421" s="196"/>
    </row>
    <row r="422" spans="1:26" ht="15.75" hidden="1">
      <c r="A422" s="161" t="s">
        <v>888</v>
      </c>
      <c r="B422" s="160" t="s">
        <v>462</v>
      </c>
      <c r="C422" s="160"/>
      <c r="D422" s="193"/>
      <c r="E422" s="165">
        <v>1543</v>
      </c>
      <c r="F422" s="193"/>
      <c r="G422" s="165">
        <v>6079.5</v>
      </c>
      <c r="H422" s="193"/>
      <c r="I422" s="165">
        <v>0</v>
      </c>
      <c r="J422" s="193"/>
      <c r="K422" s="165">
        <v>0</v>
      </c>
      <c r="L422" s="193"/>
      <c r="M422" s="165">
        <v>0</v>
      </c>
      <c r="N422" s="165"/>
      <c r="O422" s="162">
        <v>308.36</v>
      </c>
      <c r="P422" s="162"/>
      <c r="R422" s="165"/>
      <c r="T422" s="193"/>
      <c r="V422" s="181">
        <v>0</v>
      </c>
      <c r="W422" s="180">
        <f t="shared" si="58"/>
        <v>0</v>
      </c>
      <c r="Z422" s="196"/>
    </row>
    <row r="423" spans="1:26" ht="15.75">
      <c r="A423" s="161" t="s">
        <v>1079</v>
      </c>
      <c r="B423" s="160" t="s">
        <v>1498</v>
      </c>
      <c r="C423" s="160"/>
      <c r="D423" s="193"/>
      <c r="E423" s="165"/>
      <c r="F423" s="193"/>
      <c r="G423" s="165"/>
      <c r="H423" s="193"/>
      <c r="I423" s="165"/>
      <c r="J423" s="193"/>
      <c r="K423" s="165"/>
      <c r="L423" s="193"/>
      <c r="M423" s="165"/>
      <c r="N423" s="165"/>
      <c r="O423" s="162"/>
      <c r="P423" s="162">
        <v>0</v>
      </c>
      <c r="Q423" s="165">
        <v>45000</v>
      </c>
      <c r="R423" s="165"/>
      <c r="S423" s="165">
        <v>45000</v>
      </c>
      <c r="T423" s="193"/>
      <c r="U423" s="165">
        <v>0</v>
      </c>
      <c r="W423" s="180">
        <f t="shared" si="58"/>
        <v>0</v>
      </c>
      <c r="Z423" s="196"/>
    </row>
    <row r="424" spans="1:26" ht="15.75">
      <c r="B424" s="172" t="s">
        <v>470</v>
      </c>
      <c r="C424" s="177"/>
      <c r="D424" s="287"/>
      <c r="E424" s="287">
        <f>SUM(E395:E419)</f>
        <v>130366</v>
      </c>
      <c r="F424" s="287"/>
      <c r="G424" s="287">
        <f>SUM(G395:G419)</f>
        <v>106106.16999999997</v>
      </c>
      <c r="H424" s="287"/>
      <c r="I424" s="287">
        <f>SUM(I395:I420)</f>
        <v>87862.37</v>
      </c>
      <c r="J424" s="287">
        <f>SUM(J395:J420)</f>
        <v>0</v>
      </c>
      <c r="K424" s="287">
        <f>SUM(K395:K420)</f>
        <v>147803.94999999998</v>
      </c>
      <c r="L424" s="287">
        <f>SUM(L395:L420)</f>
        <v>0</v>
      </c>
      <c r="M424" s="287">
        <f>SUM(M395:M420)</f>
        <v>124489.9</v>
      </c>
      <c r="N424" s="287">
        <f t="shared" ref="N424:T424" si="60">SUM(N395:N422)</f>
        <v>1255304.7399999998</v>
      </c>
      <c r="O424" s="285">
        <f t="shared" si="60"/>
        <v>167602.01999999999</v>
      </c>
      <c r="P424" s="333">
        <f>SUM(P395:P423)</f>
        <v>435027.51</v>
      </c>
      <c r="Q424" s="333">
        <f>SUM(Q395:Q423)</f>
        <v>415711</v>
      </c>
      <c r="R424" s="333">
        <f t="shared" si="60"/>
        <v>0</v>
      </c>
      <c r="S424" s="333">
        <f>SUM(S395:S423)</f>
        <v>409452.44</v>
      </c>
      <c r="T424" s="333">
        <f t="shared" si="60"/>
        <v>0</v>
      </c>
      <c r="U424" s="333">
        <f>SUM(U395:U423)</f>
        <v>386367</v>
      </c>
      <c r="V424" s="384">
        <f>(U424-Q424)/Q424</f>
        <v>-7.0587499488827574E-2</v>
      </c>
      <c r="W424" s="191">
        <f>SUM(W395:W422)</f>
        <v>-6258.5599999999977</v>
      </c>
      <c r="X424" s="191">
        <f>SUM(X395:X422)</f>
        <v>0</v>
      </c>
    </row>
    <row r="425" spans="1:26" ht="15.75">
      <c r="C425" s="161"/>
      <c r="G425" s="165"/>
      <c r="H425" s="165"/>
      <c r="I425" s="165"/>
      <c r="J425" s="165"/>
      <c r="K425" s="165"/>
      <c r="L425" s="165"/>
      <c r="M425" s="165"/>
      <c r="N425" s="165"/>
      <c r="O425" s="162"/>
      <c r="P425" s="162"/>
      <c r="Q425" s="253"/>
      <c r="R425" s="253"/>
      <c r="S425" s="253"/>
      <c r="T425" s="165"/>
      <c r="U425" s="253"/>
      <c r="W425" s="180"/>
      <c r="X425" s="188"/>
    </row>
    <row r="426" spans="1:26" ht="15.75">
      <c r="A426" s="423" t="s">
        <v>1297</v>
      </c>
      <c r="B426" s="423"/>
      <c r="C426" s="423"/>
      <c r="G426" s="165"/>
      <c r="H426" s="165"/>
      <c r="I426" s="165"/>
      <c r="J426" s="165"/>
      <c r="K426" s="165"/>
      <c r="L426" s="165"/>
      <c r="M426" s="165"/>
      <c r="N426" s="165"/>
      <c r="O426" s="162"/>
      <c r="P426" s="162"/>
      <c r="R426" s="253"/>
      <c r="T426" s="165"/>
      <c r="W426" s="180"/>
      <c r="X426" s="188"/>
    </row>
    <row r="427" spans="1:26" ht="15.75">
      <c r="A427" s="160" t="s">
        <v>566</v>
      </c>
      <c r="B427" s="160" t="s">
        <v>418</v>
      </c>
      <c r="C427" s="160"/>
      <c r="D427" s="165"/>
      <c r="E427" s="165">
        <v>47039</v>
      </c>
      <c r="F427" s="165"/>
      <c r="G427" s="165">
        <v>22729.51</v>
      </c>
      <c r="H427" s="165"/>
      <c r="I427" s="165">
        <v>0</v>
      </c>
      <c r="J427" s="165"/>
      <c r="K427" s="165">
        <v>0</v>
      </c>
      <c r="L427" s="165"/>
      <c r="M427" s="165"/>
      <c r="N427" s="165">
        <v>0</v>
      </c>
      <c r="O427" s="162"/>
      <c r="P427" s="162">
        <v>58446.879999999997</v>
      </c>
      <c r="Q427" s="165">
        <v>90818</v>
      </c>
      <c r="R427" s="165"/>
      <c r="S427" s="165">
        <v>90818</v>
      </c>
      <c r="T427" s="165"/>
      <c r="U427" s="165">
        <v>94445</v>
      </c>
      <c r="V427" s="181">
        <f t="shared" ref="V427:V472" si="61">(U427-Q427)/Q427</f>
        <v>3.9937016890924708E-2</v>
      </c>
      <c r="W427" s="180">
        <f t="shared" ref="W427:W466" si="62">S427-Q427</f>
        <v>0</v>
      </c>
      <c r="X427" s="188"/>
    </row>
    <row r="428" spans="1:26" ht="15.75">
      <c r="A428" s="160" t="s">
        <v>644</v>
      </c>
      <c r="B428" s="160" t="s">
        <v>645</v>
      </c>
      <c r="C428" s="160"/>
      <c r="D428" s="165"/>
      <c r="E428" s="165">
        <v>15204</v>
      </c>
      <c r="F428" s="165"/>
      <c r="G428" s="165">
        <v>14280</v>
      </c>
      <c r="H428" s="165"/>
      <c r="I428" s="165">
        <v>14688</v>
      </c>
      <c r="J428" s="165"/>
      <c r="K428" s="165">
        <v>12240</v>
      </c>
      <c r="L428" s="165"/>
      <c r="M428" s="165">
        <v>14940</v>
      </c>
      <c r="N428" s="165">
        <v>13725</v>
      </c>
      <c r="O428" s="162">
        <v>27195.25</v>
      </c>
      <c r="P428" s="162">
        <v>44837.19</v>
      </c>
      <c r="Q428" s="165">
        <v>76778</v>
      </c>
      <c r="R428" s="165"/>
      <c r="S428" s="165">
        <v>45000</v>
      </c>
      <c r="T428" s="165"/>
      <c r="U428" s="165">
        <v>71619</v>
      </c>
      <c r="V428" s="181">
        <f t="shared" si="61"/>
        <v>-6.7193727369819475E-2</v>
      </c>
      <c r="W428" s="180">
        <f t="shared" si="62"/>
        <v>-31778</v>
      </c>
      <c r="X428" s="188"/>
    </row>
    <row r="429" spans="1:26" ht="15.75">
      <c r="A429" s="160" t="s">
        <v>646</v>
      </c>
      <c r="B429" s="160" t="s">
        <v>647</v>
      </c>
      <c r="C429" s="160"/>
      <c r="D429" s="165"/>
      <c r="E429" s="165">
        <v>4387</v>
      </c>
      <c r="F429" s="165"/>
      <c r="G429" s="165">
        <v>840</v>
      </c>
      <c r="H429" s="165"/>
      <c r="I429" s="165">
        <v>2776</v>
      </c>
      <c r="J429" s="165"/>
      <c r="K429" s="165">
        <v>4685</v>
      </c>
      <c r="L429" s="165"/>
      <c r="M429" s="165">
        <v>6665</v>
      </c>
      <c r="N429" s="165">
        <v>5220</v>
      </c>
      <c r="O429" s="162">
        <v>8110</v>
      </c>
      <c r="P429" s="162">
        <v>25847.88</v>
      </c>
      <c r="Q429" s="165">
        <v>0</v>
      </c>
      <c r="R429" s="165"/>
      <c r="S429" s="165">
        <v>0</v>
      </c>
      <c r="T429" s="165"/>
      <c r="U429" s="165">
        <v>0</v>
      </c>
      <c r="V429" s="181" t="e">
        <f t="shared" si="61"/>
        <v>#DIV/0!</v>
      </c>
      <c r="W429" s="180">
        <f t="shared" si="62"/>
        <v>0</v>
      </c>
      <c r="X429" s="188"/>
    </row>
    <row r="430" spans="1:26" ht="15.75">
      <c r="A430" s="160" t="s">
        <v>890</v>
      </c>
      <c r="B430" s="160" t="s">
        <v>1254</v>
      </c>
      <c r="C430" s="160"/>
      <c r="D430" s="165"/>
      <c r="E430" s="165">
        <v>1394</v>
      </c>
      <c r="F430" s="165"/>
      <c r="G430" s="165">
        <v>911.99</v>
      </c>
      <c r="H430" s="165"/>
      <c r="I430" s="165">
        <v>0</v>
      </c>
      <c r="J430" s="165"/>
      <c r="K430" s="165">
        <v>48314.25</v>
      </c>
      <c r="L430" s="165"/>
      <c r="M430" s="165">
        <v>23349.5</v>
      </c>
      <c r="N430" s="165">
        <v>15778</v>
      </c>
      <c r="O430" s="162">
        <v>27422.81</v>
      </c>
      <c r="P430" s="162">
        <v>22255.360000000001</v>
      </c>
      <c r="Q430" s="165">
        <v>46592</v>
      </c>
      <c r="R430" s="165"/>
      <c r="S430" s="165">
        <v>32193.919999999998</v>
      </c>
      <c r="T430" s="165"/>
      <c r="U430" s="165">
        <v>53248</v>
      </c>
      <c r="V430" s="181">
        <v>0</v>
      </c>
      <c r="W430" s="180">
        <f>S430-Q430</f>
        <v>-14398.080000000002</v>
      </c>
      <c r="X430" s="188"/>
    </row>
    <row r="431" spans="1:26" ht="15.75">
      <c r="A431" s="160" t="s">
        <v>969</v>
      </c>
      <c r="B431" s="160" t="s">
        <v>1255</v>
      </c>
      <c r="C431" s="160"/>
      <c r="D431" s="165"/>
      <c r="E431" s="165">
        <v>1394</v>
      </c>
      <c r="F431" s="165"/>
      <c r="G431" s="165">
        <v>911.99</v>
      </c>
      <c r="H431" s="165"/>
      <c r="I431" s="165">
        <v>0</v>
      </c>
      <c r="J431" s="165"/>
      <c r="K431" s="165">
        <v>48314.25</v>
      </c>
      <c r="L431" s="165"/>
      <c r="M431" s="165">
        <v>3583.13</v>
      </c>
      <c r="N431" s="165">
        <v>60.38</v>
      </c>
      <c r="O431" s="162">
        <v>118.02</v>
      </c>
      <c r="P431" s="162">
        <v>547</v>
      </c>
      <c r="Q431" s="165">
        <v>500</v>
      </c>
      <c r="R431" s="165"/>
      <c r="S431" s="165">
        <v>500</v>
      </c>
      <c r="T431" s="165"/>
      <c r="U431" s="165">
        <v>500</v>
      </c>
      <c r="V431" s="181">
        <v>0</v>
      </c>
      <c r="W431" s="180">
        <f>S431-Q431</f>
        <v>0</v>
      </c>
      <c r="X431" s="188"/>
    </row>
    <row r="432" spans="1:26" ht="15.75">
      <c r="A432" s="160" t="s">
        <v>567</v>
      </c>
      <c r="B432" s="160" t="s">
        <v>409</v>
      </c>
      <c r="C432" s="160"/>
      <c r="D432" s="165"/>
      <c r="E432" s="165">
        <v>1394</v>
      </c>
      <c r="F432" s="165"/>
      <c r="G432" s="165">
        <v>911.99</v>
      </c>
      <c r="H432" s="165"/>
      <c r="I432" s="165">
        <v>0</v>
      </c>
      <c r="J432" s="165"/>
      <c r="K432" s="165">
        <v>4000.21</v>
      </c>
      <c r="L432" s="165"/>
      <c r="M432" s="165">
        <v>0</v>
      </c>
      <c r="N432" s="165">
        <v>0</v>
      </c>
      <c r="O432" s="162"/>
      <c r="P432" s="162">
        <v>4300.07</v>
      </c>
      <c r="Q432" s="165">
        <v>4000</v>
      </c>
      <c r="R432" s="165"/>
      <c r="S432" s="165">
        <v>4000</v>
      </c>
      <c r="T432" s="165"/>
      <c r="U432" s="165">
        <v>4000</v>
      </c>
      <c r="V432" s="181">
        <f t="shared" si="61"/>
        <v>0</v>
      </c>
      <c r="W432" s="180">
        <f t="shared" si="62"/>
        <v>0</v>
      </c>
      <c r="X432" s="188"/>
    </row>
    <row r="433" spans="1:24" ht="15.75" hidden="1">
      <c r="A433" s="160" t="s">
        <v>1138</v>
      </c>
      <c r="B433" s="160" t="s">
        <v>1139</v>
      </c>
      <c r="C433" s="160"/>
      <c r="D433" s="165"/>
      <c r="E433" s="165">
        <v>1394</v>
      </c>
      <c r="F433" s="165"/>
      <c r="G433" s="165">
        <v>911.99</v>
      </c>
      <c r="H433" s="165"/>
      <c r="I433" s="165">
        <v>0</v>
      </c>
      <c r="J433" s="165"/>
      <c r="K433" s="165">
        <v>4000.21</v>
      </c>
      <c r="L433" s="165"/>
      <c r="M433" s="165">
        <v>0</v>
      </c>
      <c r="N433" s="165">
        <v>0</v>
      </c>
      <c r="O433" s="162">
        <v>671.25</v>
      </c>
      <c r="P433" s="162"/>
      <c r="R433" s="165"/>
      <c r="T433" s="165"/>
      <c r="V433" s="181" t="e">
        <f t="shared" si="61"/>
        <v>#DIV/0!</v>
      </c>
      <c r="W433" s="180">
        <f>S433-Q433</f>
        <v>0</v>
      </c>
      <c r="X433" s="188"/>
    </row>
    <row r="434" spans="1:24">
      <c r="A434" s="161" t="s">
        <v>226</v>
      </c>
      <c r="B434" s="160" t="s">
        <v>105</v>
      </c>
      <c r="C434" s="160"/>
      <c r="D434" s="165"/>
      <c r="E434" s="165">
        <v>2997</v>
      </c>
      <c r="F434" s="165"/>
      <c r="G434" s="165">
        <v>1361.28</v>
      </c>
      <c r="H434" s="165"/>
      <c r="I434" s="165">
        <v>0</v>
      </c>
      <c r="J434" s="165"/>
      <c r="K434" s="165">
        <v>0</v>
      </c>
      <c r="L434" s="165"/>
      <c r="M434" s="165">
        <v>0</v>
      </c>
      <c r="N434" s="165"/>
      <c r="O434" s="162">
        <v>1727.72</v>
      </c>
      <c r="P434" s="162">
        <v>7130.97</v>
      </c>
      <c r="Q434" s="165">
        <v>10639</v>
      </c>
      <c r="R434" s="165"/>
      <c r="S434" s="165">
        <v>6500</v>
      </c>
      <c r="T434" s="165"/>
      <c r="U434" s="165">
        <v>11071</v>
      </c>
      <c r="V434" s="181">
        <f t="shared" si="61"/>
        <v>4.0605320048876771E-2</v>
      </c>
      <c r="W434" s="180">
        <f t="shared" si="62"/>
        <v>-4139</v>
      </c>
    </row>
    <row r="435" spans="1:24">
      <c r="A435" s="161" t="s">
        <v>227</v>
      </c>
      <c r="B435" s="160" t="s">
        <v>67</v>
      </c>
      <c r="C435" s="160"/>
      <c r="D435" s="165"/>
      <c r="E435" s="165">
        <v>701</v>
      </c>
      <c r="F435" s="165"/>
      <c r="G435" s="165">
        <v>320.86</v>
      </c>
      <c r="H435" s="165"/>
      <c r="I435" s="165">
        <v>0</v>
      </c>
      <c r="J435" s="165"/>
      <c r="K435" s="165">
        <v>0</v>
      </c>
      <c r="L435" s="165"/>
      <c r="M435" s="165">
        <v>0</v>
      </c>
      <c r="N435" s="165"/>
      <c r="O435" s="162">
        <v>404.06</v>
      </c>
      <c r="P435" s="162">
        <v>1667.76</v>
      </c>
      <c r="Q435" s="165">
        <v>2492</v>
      </c>
      <c r="R435" s="165"/>
      <c r="S435" s="165">
        <v>1430</v>
      </c>
      <c r="T435" s="165"/>
      <c r="U435" s="165">
        <v>2590</v>
      </c>
      <c r="V435" s="181">
        <f t="shared" si="61"/>
        <v>3.9325842696629212E-2</v>
      </c>
      <c r="W435" s="180">
        <f t="shared" si="62"/>
        <v>-1062</v>
      </c>
    </row>
    <row r="436" spans="1:24" ht="15.75">
      <c r="A436" s="161" t="s">
        <v>632</v>
      </c>
      <c r="B436" s="160" t="s">
        <v>598</v>
      </c>
      <c r="C436" s="160"/>
      <c r="D436" s="193"/>
      <c r="E436" s="165">
        <v>11638</v>
      </c>
      <c r="F436" s="193"/>
      <c r="G436" s="165">
        <v>5324.52</v>
      </c>
      <c r="H436" s="193"/>
      <c r="I436" s="165">
        <v>0</v>
      </c>
      <c r="J436" s="193"/>
      <c r="K436" s="165">
        <v>0</v>
      </c>
      <c r="L436" s="193"/>
      <c r="M436" s="165">
        <v>0</v>
      </c>
      <c r="N436" s="165"/>
      <c r="O436" s="162"/>
      <c r="P436" s="162">
        <v>10607.08</v>
      </c>
      <c r="Q436" s="165">
        <v>16514</v>
      </c>
      <c r="R436" s="165"/>
      <c r="S436" s="165">
        <v>18000</v>
      </c>
      <c r="T436" s="193"/>
      <c r="U436" s="165">
        <v>17835</v>
      </c>
      <c r="V436" s="181">
        <f t="shared" si="61"/>
        <v>7.9992733438294786E-2</v>
      </c>
      <c r="W436" s="180">
        <f t="shared" si="62"/>
        <v>1486</v>
      </c>
      <c r="X436" s="188"/>
    </row>
    <row r="437" spans="1:24" ht="15.75">
      <c r="A437" s="161" t="s">
        <v>228</v>
      </c>
      <c r="B437" s="160" t="s">
        <v>69</v>
      </c>
      <c r="C437" s="160"/>
      <c r="D437" s="193"/>
      <c r="E437" s="165">
        <v>436</v>
      </c>
      <c r="F437" s="193"/>
      <c r="G437" s="165">
        <v>-184.51</v>
      </c>
      <c r="H437" s="193"/>
      <c r="I437" s="165">
        <v>0</v>
      </c>
      <c r="J437" s="193"/>
      <c r="K437" s="165">
        <v>0</v>
      </c>
      <c r="L437" s="193"/>
      <c r="M437" s="165">
        <v>0</v>
      </c>
      <c r="N437" s="165"/>
      <c r="O437" s="162">
        <v>27.93</v>
      </c>
      <c r="P437" s="162">
        <v>605.16</v>
      </c>
      <c r="Q437" s="165">
        <v>2793</v>
      </c>
      <c r="R437" s="165"/>
      <c r="S437" s="165">
        <v>100</v>
      </c>
      <c r="T437" s="193"/>
      <c r="U437" s="165">
        <v>1800</v>
      </c>
      <c r="V437" s="181">
        <f t="shared" si="61"/>
        <v>-0.35553168635875404</v>
      </c>
      <c r="W437" s="180">
        <f t="shared" si="62"/>
        <v>-2693</v>
      </c>
      <c r="X437" s="188"/>
    </row>
    <row r="438" spans="1:24">
      <c r="A438" s="161" t="s">
        <v>229</v>
      </c>
      <c r="B438" s="160" t="s">
        <v>70</v>
      </c>
      <c r="C438" s="160"/>
      <c r="D438" s="165"/>
      <c r="E438" s="165">
        <v>2335</v>
      </c>
      <c r="F438" s="165"/>
      <c r="G438" s="165">
        <v>507.66</v>
      </c>
      <c r="H438" s="165"/>
      <c r="I438" s="165">
        <v>0</v>
      </c>
      <c r="J438" s="165"/>
      <c r="K438" s="165">
        <v>0</v>
      </c>
      <c r="L438" s="165"/>
      <c r="M438" s="165">
        <v>0</v>
      </c>
      <c r="N438" s="165"/>
      <c r="O438" s="162">
        <v>0</v>
      </c>
      <c r="P438" s="162">
        <v>4647.6899999999996</v>
      </c>
      <c r="Q438" s="165">
        <v>7008</v>
      </c>
      <c r="R438" s="165"/>
      <c r="S438" s="165">
        <v>7008</v>
      </c>
      <c r="T438" s="165"/>
      <c r="U438" s="165">
        <v>6902</v>
      </c>
      <c r="V438" s="181">
        <f t="shared" si="61"/>
        <v>-1.5125570776255707E-2</v>
      </c>
      <c r="W438" s="180">
        <f t="shared" si="62"/>
        <v>0</v>
      </c>
    </row>
    <row r="439" spans="1:24">
      <c r="A439" s="161" t="s">
        <v>230</v>
      </c>
      <c r="B439" s="160" t="s">
        <v>106</v>
      </c>
      <c r="C439" s="160"/>
      <c r="D439" s="253"/>
      <c r="E439" s="165">
        <v>2247</v>
      </c>
      <c r="F439" s="253"/>
      <c r="G439" s="165">
        <v>-1266.33</v>
      </c>
      <c r="H439" s="253"/>
      <c r="I439" s="165">
        <v>0</v>
      </c>
      <c r="J439" s="253"/>
      <c r="K439" s="165">
        <v>-581</v>
      </c>
      <c r="L439" s="253"/>
      <c r="M439" s="165">
        <v>0</v>
      </c>
      <c r="N439" s="165"/>
      <c r="O439" s="162">
        <v>679.65</v>
      </c>
      <c r="P439" s="162">
        <v>2396.79</v>
      </c>
      <c r="Q439" s="165">
        <v>3509</v>
      </c>
      <c r="R439" s="165"/>
      <c r="S439" s="165">
        <v>2500</v>
      </c>
      <c r="T439" s="253"/>
      <c r="U439" s="165">
        <v>3703</v>
      </c>
      <c r="V439" s="181">
        <f t="shared" si="61"/>
        <v>5.528640638358507E-2</v>
      </c>
      <c r="W439" s="180">
        <f t="shared" si="62"/>
        <v>-1009</v>
      </c>
    </row>
    <row r="440" spans="1:24">
      <c r="A440" s="161" t="s">
        <v>1260</v>
      </c>
      <c r="B440" s="160" t="s">
        <v>392</v>
      </c>
      <c r="C440" s="160"/>
      <c r="D440" s="253"/>
      <c r="E440" s="165">
        <v>141</v>
      </c>
      <c r="F440" s="253"/>
      <c r="G440" s="165">
        <v>81.09</v>
      </c>
      <c r="H440" s="253"/>
      <c r="I440" s="165">
        <v>0</v>
      </c>
      <c r="J440" s="253"/>
      <c r="K440" s="165">
        <v>0</v>
      </c>
      <c r="L440" s="253"/>
      <c r="M440" s="165">
        <v>0</v>
      </c>
      <c r="N440" s="165"/>
      <c r="O440" s="162"/>
      <c r="P440" s="162">
        <v>90</v>
      </c>
      <c r="Q440" s="165">
        <v>130</v>
      </c>
      <c r="R440" s="165"/>
      <c r="S440" s="165">
        <v>100</v>
      </c>
      <c r="T440" s="253"/>
      <c r="U440" s="165">
        <v>122</v>
      </c>
      <c r="V440" s="181">
        <f t="shared" si="61"/>
        <v>-6.1538461538461542E-2</v>
      </c>
      <c r="W440" s="180">
        <f t="shared" si="62"/>
        <v>-30</v>
      </c>
    </row>
    <row r="441" spans="1:24" s="188" customFormat="1" ht="15.75" hidden="1">
      <c r="A441" s="161" t="s">
        <v>231</v>
      </c>
      <c r="B441" s="160" t="s">
        <v>94</v>
      </c>
      <c r="D441" s="165"/>
      <c r="E441" s="165">
        <v>1491</v>
      </c>
      <c r="F441" s="165"/>
      <c r="G441" s="165">
        <v>414.94</v>
      </c>
      <c r="H441" s="165"/>
      <c r="I441" s="165">
        <v>499.93</v>
      </c>
      <c r="J441" s="165"/>
      <c r="K441" s="165">
        <v>1060.07</v>
      </c>
      <c r="L441" s="165"/>
      <c r="M441" s="165">
        <v>750</v>
      </c>
      <c r="N441" s="165">
        <v>0</v>
      </c>
      <c r="O441" s="162"/>
      <c r="P441" s="162"/>
      <c r="Q441" s="165"/>
      <c r="R441" s="165"/>
      <c r="S441" s="165"/>
      <c r="T441" s="165"/>
      <c r="U441" s="165"/>
      <c r="V441" s="181" t="e">
        <f t="shared" si="61"/>
        <v>#DIV/0!</v>
      </c>
      <c r="W441" s="180">
        <f t="shared" si="62"/>
        <v>0</v>
      </c>
      <c r="X441" s="160"/>
    </row>
    <row r="442" spans="1:24">
      <c r="A442" s="160" t="s">
        <v>568</v>
      </c>
      <c r="B442" s="160" t="s">
        <v>420</v>
      </c>
      <c r="C442" s="160"/>
      <c r="D442" s="165"/>
      <c r="E442" s="165">
        <v>3064</v>
      </c>
      <c r="F442" s="165"/>
      <c r="G442" s="165">
        <v>4220.16</v>
      </c>
      <c r="H442" s="165"/>
      <c r="I442" s="165">
        <v>3620.14</v>
      </c>
      <c r="J442" s="165"/>
      <c r="K442" s="165">
        <v>2193.92</v>
      </c>
      <c r="L442" s="165"/>
      <c r="M442" s="165">
        <v>3340.97</v>
      </c>
      <c r="N442" s="165">
        <v>3355.61</v>
      </c>
      <c r="O442" s="162">
        <v>3791.9</v>
      </c>
      <c r="P442" s="162">
        <v>6581.51</v>
      </c>
      <c r="Q442" s="165">
        <v>10000</v>
      </c>
      <c r="R442" s="165"/>
      <c r="S442" s="165">
        <v>10000</v>
      </c>
      <c r="T442" s="165"/>
      <c r="U442" s="165">
        <v>10000</v>
      </c>
      <c r="V442" s="181">
        <f t="shared" si="61"/>
        <v>0</v>
      </c>
      <c r="W442" s="180">
        <f t="shared" si="62"/>
        <v>0</v>
      </c>
    </row>
    <row r="443" spans="1:24">
      <c r="A443" s="161" t="s">
        <v>569</v>
      </c>
      <c r="B443" s="160" t="s">
        <v>421</v>
      </c>
      <c r="C443" s="160"/>
      <c r="D443" s="165"/>
      <c r="E443" s="165">
        <v>1011</v>
      </c>
      <c r="F443" s="165"/>
      <c r="G443" s="165">
        <v>724.38</v>
      </c>
      <c r="H443" s="165"/>
      <c r="I443" s="165">
        <v>1721.76</v>
      </c>
      <c r="J443" s="165"/>
      <c r="K443" s="165">
        <v>1742.08</v>
      </c>
      <c r="L443" s="165"/>
      <c r="M443" s="165">
        <v>2159.29</v>
      </c>
      <c r="N443" s="165">
        <v>2825.41</v>
      </c>
      <c r="O443" s="162">
        <v>4930.8900000000003</v>
      </c>
      <c r="P443" s="162">
        <v>954.37</v>
      </c>
      <c r="Q443" s="165">
        <v>2500</v>
      </c>
      <c r="R443" s="165"/>
      <c r="S443" s="165">
        <v>2500</v>
      </c>
      <c r="T443" s="165"/>
      <c r="U443" s="165">
        <v>2500</v>
      </c>
      <c r="V443" s="181">
        <f t="shared" si="61"/>
        <v>0</v>
      </c>
      <c r="W443" s="180">
        <f t="shared" si="62"/>
        <v>0</v>
      </c>
    </row>
    <row r="444" spans="1:24" s="188" customFormat="1" ht="15.75">
      <c r="A444" s="160" t="s">
        <v>570</v>
      </c>
      <c r="B444" s="160" t="s">
        <v>422</v>
      </c>
      <c r="D444" s="165"/>
      <c r="E444" s="165">
        <v>8361</v>
      </c>
      <c r="F444" s="165"/>
      <c r="G444" s="165">
        <v>15143.36</v>
      </c>
      <c r="H444" s="165"/>
      <c r="I444" s="165">
        <v>10738.12</v>
      </c>
      <c r="J444" s="165"/>
      <c r="K444" s="165">
        <v>10471.290000000001</v>
      </c>
      <c r="L444" s="165"/>
      <c r="M444" s="165">
        <v>7819.17</v>
      </c>
      <c r="N444" s="165">
        <v>6980.03</v>
      </c>
      <c r="O444" s="162">
        <v>8441.0400000000009</v>
      </c>
      <c r="P444" s="162">
        <v>6733.26</v>
      </c>
      <c r="Q444" s="165">
        <v>10000</v>
      </c>
      <c r="R444" s="165"/>
      <c r="S444" s="165">
        <v>10000</v>
      </c>
      <c r="T444" s="165"/>
      <c r="U444" s="165">
        <v>10000</v>
      </c>
      <c r="V444" s="181">
        <f t="shared" si="61"/>
        <v>0</v>
      </c>
      <c r="W444" s="180">
        <f t="shared" si="62"/>
        <v>0</v>
      </c>
      <c r="X444" s="160"/>
    </row>
    <row r="445" spans="1:24" s="188" customFormat="1" ht="15.75">
      <c r="A445" s="160" t="s">
        <v>571</v>
      </c>
      <c r="B445" s="160" t="s">
        <v>633</v>
      </c>
      <c r="D445" s="165"/>
      <c r="E445" s="165">
        <v>8464</v>
      </c>
      <c r="F445" s="165"/>
      <c r="G445" s="165">
        <v>9936.1200000000008</v>
      </c>
      <c r="H445" s="165"/>
      <c r="I445" s="165">
        <v>10435.459999999999</v>
      </c>
      <c r="J445" s="165"/>
      <c r="K445" s="165">
        <v>9648.16</v>
      </c>
      <c r="L445" s="165"/>
      <c r="M445" s="165">
        <v>8597.3700000000008</v>
      </c>
      <c r="N445" s="165">
        <v>9874.92</v>
      </c>
      <c r="O445" s="162">
        <v>10554.06</v>
      </c>
      <c r="P445" s="162">
        <v>7689.13</v>
      </c>
      <c r="Q445" s="165">
        <v>8000</v>
      </c>
      <c r="R445" s="165"/>
      <c r="S445" s="165">
        <v>8000</v>
      </c>
      <c r="T445" s="165"/>
      <c r="U445" s="165">
        <v>8000</v>
      </c>
      <c r="V445" s="181">
        <f t="shared" si="61"/>
        <v>0</v>
      </c>
      <c r="W445" s="180">
        <f t="shared" si="62"/>
        <v>0</v>
      </c>
      <c r="X445" s="160"/>
    </row>
    <row r="446" spans="1:24" s="188" customFormat="1" ht="15.75">
      <c r="A446" s="160" t="s">
        <v>837</v>
      </c>
      <c r="B446" s="160" t="s">
        <v>779</v>
      </c>
      <c r="D446" s="165"/>
      <c r="E446" s="165">
        <v>8464</v>
      </c>
      <c r="F446" s="165"/>
      <c r="G446" s="165">
        <v>0</v>
      </c>
      <c r="H446" s="165"/>
      <c r="I446" s="165">
        <v>5150.25</v>
      </c>
      <c r="J446" s="165"/>
      <c r="K446" s="165">
        <v>11611.53</v>
      </c>
      <c r="L446" s="165"/>
      <c r="M446" s="165">
        <v>11458.6</v>
      </c>
      <c r="N446" s="165">
        <v>11365.99</v>
      </c>
      <c r="O446" s="162">
        <v>13608.33</v>
      </c>
      <c r="P446" s="162">
        <v>11452.89</v>
      </c>
      <c r="Q446" s="165">
        <v>12000</v>
      </c>
      <c r="R446" s="165"/>
      <c r="S446" s="165">
        <v>10000</v>
      </c>
      <c r="T446" s="165"/>
      <c r="U446" s="165">
        <v>10000</v>
      </c>
      <c r="V446" s="181">
        <f t="shared" si="61"/>
        <v>-0.16666666666666666</v>
      </c>
      <c r="W446" s="180">
        <f t="shared" si="62"/>
        <v>-2000</v>
      </c>
      <c r="X446" s="160"/>
    </row>
    <row r="447" spans="1:24" s="188" customFormat="1" ht="15.75">
      <c r="A447" s="160" t="s">
        <v>1256</v>
      </c>
      <c r="B447" s="160" t="s">
        <v>1257</v>
      </c>
      <c r="D447" s="165"/>
      <c r="E447" s="165"/>
      <c r="F447" s="165"/>
      <c r="G447" s="165"/>
      <c r="H447" s="165"/>
      <c r="I447" s="165"/>
      <c r="J447" s="165"/>
      <c r="K447" s="165"/>
      <c r="L447" s="165"/>
      <c r="M447" s="165"/>
      <c r="N447" s="165"/>
      <c r="O447" s="162"/>
      <c r="P447" s="162">
        <v>5294.79</v>
      </c>
      <c r="Q447" s="165">
        <v>6000</v>
      </c>
      <c r="R447" s="165"/>
      <c r="S447" s="165">
        <v>3500</v>
      </c>
      <c r="T447" s="165"/>
      <c r="U447" s="165">
        <v>4000</v>
      </c>
      <c r="V447" s="181">
        <f t="shared" si="61"/>
        <v>-0.33333333333333331</v>
      </c>
      <c r="W447" s="180">
        <f t="shared" si="62"/>
        <v>-2500</v>
      </c>
      <c r="X447" s="160"/>
    </row>
    <row r="448" spans="1:24" s="188" customFormat="1" ht="15.75">
      <c r="A448" s="160" t="s">
        <v>572</v>
      </c>
      <c r="B448" s="160" t="s">
        <v>385</v>
      </c>
      <c r="D448" s="165"/>
      <c r="E448" s="165">
        <v>583</v>
      </c>
      <c r="F448" s="165"/>
      <c r="G448" s="165">
        <v>405.42</v>
      </c>
      <c r="H448" s="165"/>
      <c r="I448" s="165">
        <v>500.07</v>
      </c>
      <c r="J448" s="165"/>
      <c r="K448" s="165">
        <v>564.62</v>
      </c>
      <c r="L448" s="165"/>
      <c r="M448" s="165">
        <v>590.05999999999995</v>
      </c>
      <c r="N448" s="165">
        <v>608.08000000000004</v>
      </c>
      <c r="O448" s="162">
        <v>622.05999999999995</v>
      </c>
      <c r="P448" s="162">
        <v>84.84</v>
      </c>
      <c r="Q448" s="165">
        <v>100</v>
      </c>
      <c r="R448" s="165"/>
      <c r="S448" s="165">
        <v>104</v>
      </c>
      <c r="T448" s="165"/>
      <c r="U448" s="165">
        <v>159</v>
      </c>
      <c r="V448" s="181">
        <f t="shared" si="61"/>
        <v>0.59</v>
      </c>
      <c r="W448" s="180">
        <f t="shared" si="62"/>
        <v>4</v>
      </c>
      <c r="X448" s="160"/>
    </row>
    <row r="449" spans="1:26">
      <c r="A449" s="161" t="s">
        <v>1211</v>
      </c>
      <c r="B449" s="160" t="s">
        <v>1212</v>
      </c>
      <c r="C449" s="160"/>
      <c r="D449" s="165"/>
      <c r="E449" s="165">
        <v>8209</v>
      </c>
      <c r="F449" s="165"/>
      <c r="G449" s="165">
        <v>4418.7700000000004</v>
      </c>
      <c r="H449" s="165"/>
      <c r="I449" s="165">
        <v>11302.46</v>
      </c>
      <c r="J449" s="165"/>
      <c r="K449" s="165">
        <v>10856.11</v>
      </c>
      <c r="L449" s="165"/>
      <c r="M449" s="165">
        <v>1917</v>
      </c>
      <c r="N449" s="165">
        <v>3679</v>
      </c>
      <c r="O449" s="162">
        <v>6867.25</v>
      </c>
      <c r="P449" s="162">
        <v>3067.37</v>
      </c>
      <c r="Q449" s="178">
        <v>3000</v>
      </c>
      <c r="R449" s="165"/>
      <c r="S449" s="165">
        <v>3500</v>
      </c>
      <c r="T449" s="165"/>
      <c r="U449" s="165">
        <v>3500</v>
      </c>
      <c r="V449" s="181">
        <f t="shared" si="61"/>
        <v>0.16666666666666666</v>
      </c>
      <c r="W449" s="180">
        <f t="shared" si="62"/>
        <v>500</v>
      </c>
    </row>
    <row r="450" spans="1:26">
      <c r="A450" s="161" t="s">
        <v>1213</v>
      </c>
      <c r="B450" s="160" t="s">
        <v>1214</v>
      </c>
      <c r="C450" s="160"/>
      <c r="D450" s="165"/>
      <c r="E450" s="165">
        <v>8209</v>
      </c>
      <c r="F450" s="165"/>
      <c r="G450" s="165">
        <v>4418.7700000000004</v>
      </c>
      <c r="H450" s="165"/>
      <c r="I450" s="165">
        <v>11302.46</v>
      </c>
      <c r="J450" s="165"/>
      <c r="K450" s="165">
        <v>10856.11</v>
      </c>
      <c r="L450" s="165"/>
      <c r="M450" s="165">
        <v>1917</v>
      </c>
      <c r="N450" s="165">
        <v>3679</v>
      </c>
      <c r="O450" s="162">
        <v>6867.25</v>
      </c>
      <c r="P450" s="162">
        <v>986.5</v>
      </c>
      <c r="Q450" s="178">
        <v>1200</v>
      </c>
      <c r="R450" s="165"/>
      <c r="S450" s="165">
        <v>1200</v>
      </c>
      <c r="T450" s="165"/>
      <c r="U450" s="165">
        <v>1200</v>
      </c>
      <c r="V450" s="181">
        <f t="shared" si="61"/>
        <v>0</v>
      </c>
      <c r="W450" s="180">
        <f>S450-Q450</f>
        <v>0</v>
      </c>
    </row>
    <row r="451" spans="1:26">
      <c r="A451" s="161" t="s">
        <v>1276</v>
      </c>
      <c r="B451" s="160" t="s">
        <v>1215</v>
      </c>
      <c r="C451" s="160"/>
      <c r="D451" s="165"/>
      <c r="E451" s="165">
        <v>8209</v>
      </c>
      <c r="F451" s="165"/>
      <c r="G451" s="165">
        <v>4418.7700000000004</v>
      </c>
      <c r="H451" s="165"/>
      <c r="I451" s="165">
        <v>11302.46</v>
      </c>
      <c r="J451" s="165"/>
      <c r="K451" s="165">
        <v>10856.11</v>
      </c>
      <c r="L451" s="165"/>
      <c r="M451" s="165">
        <v>1917</v>
      </c>
      <c r="N451" s="165">
        <v>3679</v>
      </c>
      <c r="O451" s="162">
        <v>6867.25</v>
      </c>
      <c r="P451" s="162">
        <v>2045.76</v>
      </c>
      <c r="Q451" s="178">
        <v>2000</v>
      </c>
      <c r="R451" s="165"/>
      <c r="S451" s="165">
        <v>1500</v>
      </c>
      <c r="T451" s="165"/>
      <c r="U451" s="178">
        <v>2000</v>
      </c>
      <c r="V451" s="181">
        <f t="shared" si="61"/>
        <v>0</v>
      </c>
      <c r="W451" s="180">
        <f>S451-Q451</f>
        <v>-500</v>
      </c>
    </row>
    <row r="452" spans="1:26">
      <c r="A452" s="161" t="s">
        <v>1258</v>
      </c>
      <c r="B452" s="160" t="s">
        <v>1216</v>
      </c>
      <c r="C452" s="160"/>
      <c r="D452" s="165"/>
      <c r="E452" s="165">
        <v>8209</v>
      </c>
      <c r="F452" s="165"/>
      <c r="G452" s="165">
        <v>4418.7700000000004</v>
      </c>
      <c r="H452" s="165"/>
      <c r="I452" s="165">
        <v>11302.46</v>
      </c>
      <c r="J452" s="165"/>
      <c r="K452" s="165">
        <v>10856.11</v>
      </c>
      <c r="L452" s="165"/>
      <c r="M452" s="165">
        <v>1917</v>
      </c>
      <c r="N452" s="165">
        <v>3679</v>
      </c>
      <c r="O452" s="162">
        <v>6867.25</v>
      </c>
      <c r="P452" s="162">
        <v>836.76</v>
      </c>
      <c r="Q452" s="178">
        <v>1000</v>
      </c>
      <c r="R452" s="165"/>
      <c r="S452" s="165">
        <v>1500</v>
      </c>
      <c r="T452" s="165"/>
      <c r="U452" s="178">
        <v>1500</v>
      </c>
      <c r="V452" s="181">
        <f t="shared" si="61"/>
        <v>0.5</v>
      </c>
      <c r="W452" s="180">
        <f>S452-Q452</f>
        <v>500</v>
      </c>
    </row>
    <row r="453" spans="1:26">
      <c r="A453" s="161" t="s">
        <v>1277</v>
      </c>
      <c r="B453" s="160" t="s">
        <v>1259</v>
      </c>
      <c r="C453" s="160"/>
      <c r="D453" s="165"/>
      <c r="E453" s="165"/>
      <c r="F453" s="165"/>
      <c r="G453" s="165"/>
      <c r="H453" s="165"/>
      <c r="I453" s="165"/>
      <c r="J453" s="165"/>
      <c r="K453" s="165"/>
      <c r="L453" s="165"/>
      <c r="M453" s="165"/>
      <c r="N453" s="165"/>
      <c r="O453" s="162"/>
      <c r="P453" s="162">
        <v>0</v>
      </c>
      <c r="Q453" s="178">
        <v>1000</v>
      </c>
      <c r="R453" s="165"/>
      <c r="S453" s="165">
        <v>1000</v>
      </c>
      <c r="T453" s="165"/>
      <c r="U453" s="178">
        <v>1000</v>
      </c>
      <c r="V453" s="181">
        <f t="shared" si="61"/>
        <v>0</v>
      </c>
      <c r="W453" s="180">
        <f>S453-Q453</f>
        <v>0</v>
      </c>
    </row>
    <row r="454" spans="1:26">
      <c r="A454" s="160" t="s">
        <v>573</v>
      </c>
      <c r="B454" s="160" t="s">
        <v>95</v>
      </c>
      <c r="C454" s="160"/>
      <c r="D454" s="165"/>
      <c r="E454" s="165">
        <v>3391</v>
      </c>
      <c r="F454" s="165"/>
      <c r="G454" s="165">
        <v>2473.9</v>
      </c>
      <c r="H454" s="165"/>
      <c r="I454" s="165">
        <v>1487.47</v>
      </c>
      <c r="J454" s="165"/>
      <c r="K454" s="165">
        <v>3003.3</v>
      </c>
      <c r="L454" s="165"/>
      <c r="M454" s="165">
        <v>3727.27</v>
      </c>
      <c r="N454" s="165">
        <v>3898.1</v>
      </c>
      <c r="O454" s="162">
        <v>4366.25</v>
      </c>
      <c r="P454" s="162">
        <v>7139.33</v>
      </c>
      <c r="Q454" s="165">
        <v>10000</v>
      </c>
      <c r="R454" s="165"/>
      <c r="S454" s="165">
        <v>9000</v>
      </c>
      <c r="T454" s="165"/>
      <c r="U454" s="165">
        <v>10000</v>
      </c>
      <c r="V454" s="181">
        <f t="shared" si="61"/>
        <v>0</v>
      </c>
      <c r="W454" s="180">
        <f t="shared" si="62"/>
        <v>-1000</v>
      </c>
    </row>
    <row r="455" spans="1:26">
      <c r="A455" s="160" t="s">
        <v>729</v>
      </c>
      <c r="B455" s="160" t="s">
        <v>1388</v>
      </c>
      <c r="C455" s="160"/>
      <c r="D455" s="165"/>
      <c r="E455" s="165">
        <v>519</v>
      </c>
      <c r="F455" s="165"/>
      <c r="G455" s="165">
        <v>624.44000000000005</v>
      </c>
      <c r="H455" s="165"/>
      <c r="I455" s="165">
        <v>2013.88</v>
      </c>
      <c r="J455" s="165"/>
      <c r="K455" s="165">
        <v>895.66</v>
      </c>
      <c r="L455" s="165"/>
      <c r="M455" s="165">
        <v>1594.83</v>
      </c>
      <c r="N455" s="165">
        <v>1892.62</v>
      </c>
      <c r="O455" s="162">
        <v>1437.25</v>
      </c>
      <c r="P455" s="162">
        <v>3981.86</v>
      </c>
      <c r="Q455" s="165">
        <v>3500</v>
      </c>
      <c r="R455" s="165"/>
      <c r="S455" s="165">
        <v>10000</v>
      </c>
      <c r="T455" s="165"/>
      <c r="U455" s="165">
        <v>5000</v>
      </c>
      <c r="V455" s="181">
        <f t="shared" si="61"/>
        <v>0.42857142857142855</v>
      </c>
      <c r="W455" s="180">
        <f t="shared" si="62"/>
        <v>6500</v>
      </c>
    </row>
    <row r="456" spans="1:26" hidden="1">
      <c r="A456" s="160" t="s">
        <v>780</v>
      </c>
      <c r="B456" s="160" t="s">
        <v>72</v>
      </c>
      <c r="C456" s="160"/>
      <c r="D456" s="165"/>
      <c r="E456" s="165"/>
      <c r="F456" s="165"/>
      <c r="G456" s="165">
        <v>0</v>
      </c>
      <c r="H456" s="165"/>
      <c r="I456" s="165">
        <v>0</v>
      </c>
      <c r="J456" s="165"/>
      <c r="K456" s="165">
        <v>0</v>
      </c>
      <c r="L456" s="165"/>
      <c r="M456" s="165">
        <v>0</v>
      </c>
      <c r="N456" s="165"/>
      <c r="O456" s="162"/>
      <c r="P456" s="162"/>
      <c r="R456" s="165"/>
      <c r="T456" s="165"/>
      <c r="V456" s="181" t="e">
        <f t="shared" si="61"/>
        <v>#DIV/0!</v>
      </c>
      <c r="W456" s="180">
        <f t="shared" si="62"/>
        <v>0</v>
      </c>
    </row>
    <row r="457" spans="1:26" s="188" customFormat="1" ht="15.75">
      <c r="A457" s="160" t="s">
        <v>574</v>
      </c>
      <c r="B457" s="160" t="s">
        <v>425</v>
      </c>
      <c r="D457" s="165"/>
      <c r="E457" s="165">
        <v>2194</v>
      </c>
      <c r="F457" s="165"/>
      <c r="G457" s="165">
        <v>3281.36</v>
      </c>
      <c r="H457" s="165"/>
      <c r="I457" s="165">
        <v>3410.9</v>
      </c>
      <c r="J457" s="165"/>
      <c r="K457" s="165">
        <v>1299.5</v>
      </c>
      <c r="L457" s="165"/>
      <c r="M457" s="165">
        <v>2902.17</v>
      </c>
      <c r="N457" s="165">
        <v>4822.74</v>
      </c>
      <c r="O457" s="162">
        <v>1292.6099999999999</v>
      </c>
      <c r="P457" s="162">
        <v>12207.92</v>
      </c>
      <c r="Q457" s="165">
        <v>8000</v>
      </c>
      <c r="R457" s="165"/>
      <c r="S457" s="165">
        <v>16000</v>
      </c>
      <c r="T457" s="165"/>
      <c r="U457" s="165">
        <v>10000</v>
      </c>
      <c r="V457" s="181">
        <f t="shared" si="61"/>
        <v>0.25</v>
      </c>
      <c r="W457" s="180">
        <f t="shared" si="62"/>
        <v>8000</v>
      </c>
      <c r="X457" s="160"/>
    </row>
    <row r="458" spans="1:26" s="188" customFormat="1" ht="15.75">
      <c r="A458" s="160" t="s">
        <v>575</v>
      </c>
      <c r="B458" s="160" t="s">
        <v>426</v>
      </c>
      <c r="D458" s="165"/>
      <c r="E458" s="165">
        <v>3190</v>
      </c>
      <c r="F458" s="165"/>
      <c r="G458" s="165">
        <v>585.48</v>
      </c>
      <c r="H458" s="165"/>
      <c r="I458" s="165">
        <v>3170.27</v>
      </c>
      <c r="J458" s="165"/>
      <c r="K458" s="165">
        <v>1893.68</v>
      </c>
      <c r="L458" s="165"/>
      <c r="M458" s="165">
        <v>5428.04</v>
      </c>
      <c r="N458" s="165">
        <v>1822.64</v>
      </c>
      <c r="O458" s="162">
        <v>78.150000000000006</v>
      </c>
      <c r="P458" s="162">
        <v>1267.43</v>
      </c>
      <c r="Q458" s="165">
        <v>3500</v>
      </c>
      <c r="R458" s="165"/>
      <c r="S458" s="165">
        <v>3500</v>
      </c>
      <c r="T458" s="165"/>
      <c r="U458" s="165">
        <v>3500</v>
      </c>
      <c r="V458" s="181">
        <f t="shared" si="61"/>
        <v>0</v>
      </c>
      <c r="W458" s="180">
        <f t="shared" si="62"/>
        <v>0</v>
      </c>
      <c r="X458" s="160"/>
      <c r="Z458" s="160"/>
    </row>
    <row r="459" spans="1:26" s="188" customFormat="1" ht="17.25" customHeight="1">
      <c r="A459" s="160" t="s">
        <v>1235</v>
      </c>
      <c r="B459" s="160" t="s">
        <v>1222</v>
      </c>
      <c r="D459" s="165"/>
      <c r="E459" s="165"/>
      <c r="F459" s="165"/>
      <c r="G459" s="165"/>
      <c r="H459" s="165"/>
      <c r="I459" s="165"/>
      <c r="J459" s="165"/>
      <c r="K459" s="165"/>
      <c r="L459" s="165"/>
      <c r="M459" s="165"/>
      <c r="N459" s="165"/>
      <c r="O459" s="162"/>
      <c r="P459" s="162">
        <v>7061.62</v>
      </c>
      <c r="Q459" s="165">
        <v>7000</v>
      </c>
      <c r="R459" s="165"/>
      <c r="S459" s="165">
        <v>8500</v>
      </c>
      <c r="T459" s="165"/>
      <c r="U459" s="165">
        <v>8000</v>
      </c>
      <c r="V459" s="181">
        <f t="shared" si="61"/>
        <v>0.14285714285714285</v>
      </c>
      <c r="W459" s="180">
        <f t="shared" si="62"/>
        <v>1500</v>
      </c>
      <c r="X459" s="160"/>
      <c r="Z459" s="160"/>
    </row>
    <row r="460" spans="1:26" s="188" customFormat="1" ht="15.75">
      <c r="A460" s="160" t="s">
        <v>576</v>
      </c>
      <c r="B460" s="160" t="s">
        <v>24</v>
      </c>
      <c r="D460" s="165"/>
      <c r="E460" s="165">
        <v>7633</v>
      </c>
      <c r="F460" s="165"/>
      <c r="G460" s="165">
        <v>30269.77</v>
      </c>
      <c r="H460" s="165"/>
      <c r="I460" s="165">
        <v>6969.21</v>
      </c>
      <c r="J460" s="165"/>
      <c r="K460" s="165">
        <v>2831.44</v>
      </c>
      <c r="L460" s="165"/>
      <c r="M460" s="165">
        <v>2798.07</v>
      </c>
      <c r="N460" s="165">
        <v>10221.32</v>
      </c>
      <c r="O460" s="162">
        <v>6712.94</v>
      </c>
      <c r="P460" s="162">
        <v>12295.82</v>
      </c>
      <c r="Q460" s="165">
        <v>15000</v>
      </c>
      <c r="R460" s="165"/>
      <c r="S460" s="165">
        <v>15000</v>
      </c>
      <c r="T460" s="165"/>
      <c r="U460" s="165">
        <v>15000</v>
      </c>
      <c r="V460" s="181">
        <f t="shared" si="61"/>
        <v>0</v>
      </c>
      <c r="W460" s="180">
        <f t="shared" si="62"/>
        <v>0</v>
      </c>
      <c r="X460" s="160"/>
    </row>
    <row r="461" spans="1:26" s="188" customFormat="1" ht="15.75">
      <c r="A461" s="160" t="s">
        <v>590</v>
      </c>
      <c r="B461" s="160" t="s">
        <v>838</v>
      </c>
      <c r="D461" s="165"/>
      <c r="E461" s="165"/>
      <c r="F461" s="165"/>
      <c r="G461" s="165">
        <v>30622.47</v>
      </c>
      <c r="H461" s="165"/>
      <c r="I461" s="165">
        <v>5889.36</v>
      </c>
      <c r="J461" s="165"/>
      <c r="K461" s="165">
        <v>4507.51</v>
      </c>
      <c r="L461" s="165"/>
      <c r="M461" s="165">
        <v>52.81</v>
      </c>
      <c r="N461" s="165">
        <v>58.27</v>
      </c>
      <c r="O461" s="162">
        <v>1401.03</v>
      </c>
      <c r="P461" s="162">
        <v>1606.53</v>
      </c>
      <c r="Q461" s="165">
        <v>6000</v>
      </c>
      <c r="R461" s="165"/>
      <c r="S461" s="165">
        <v>6000</v>
      </c>
      <c r="T461" s="165"/>
      <c r="U461" s="165">
        <v>6000</v>
      </c>
      <c r="V461" s="181">
        <f t="shared" si="61"/>
        <v>0</v>
      </c>
      <c r="W461" s="180">
        <f t="shared" si="62"/>
        <v>0</v>
      </c>
      <c r="X461" s="160"/>
    </row>
    <row r="462" spans="1:26" s="188" customFormat="1" ht="15.75">
      <c r="A462" s="160" t="s">
        <v>1273</v>
      </c>
      <c r="B462" s="160" t="s">
        <v>1274</v>
      </c>
      <c r="D462" s="165"/>
      <c r="E462" s="165"/>
      <c r="F462" s="165"/>
      <c r="G462" s="165"/>
      <c r="H462" s="165"/>
      <c r="I462" s="165"/>
      <c r="J462" s="165"/>
      <c r="K462" s="165"/>
      <c r="L462" s="165"/>
      <c r="M462" s="165"/>
      <c r="N462" s="165"/>
      <c r="O462" s="162"/>
      <c r="P462" s="162">
        <v>888</v>
      </c>
      <c r="Q462" s="165">
        <v>1000</v>
      </c>
      <c r="R462" s="165"/>
      <c r="S462" s="165">
        <v>1000</v>
      </c>
      <c r="T462" s="165"/>
      <c r="U462" s="165">
        <v>1000</v>
      </c>
      <c r="V462" s="181">
        <f t="shared" si="61"/>
        <v>0</v>
      </c>
      <c r="W462" s="180">
        <f t="shared" si="62"/>
        <v>0</v>
      </c>
      <c r="X462" s="160"/>
    </row>
    <row r="463" spans="1:26">
      <c r="A463" s="161" t="s">
        <v>874</v>
      </c>
      <c r="B463" s="160" t="s">
        <v>355</v>
      </c>
      <c r="C463" s="160"/>
      <c r="D463" s="165"/>
      <c r="E463" s="165">
        <v>2000</v>
      </c>
      <c r="F463" s="165"/>
      <c r="G463" s="165">
        <v>2000</v>
      </c>
      <c r="H463" s="165"/>
      <c r="I463" s="165">
        <v>2000</v>
      </c>
      <c r="J463" s="165"/>
      <c r="K463" s="165">
        <v>2916.91</v>
      </c>
      <c r="L463" s="165"/>
      <c r="M463" s="165">
        <v>3411.39</v>
      </c>
      <c r="N463" s="165">
        <v>2950</v>
      </c>
      <c r="O463" s="162">
        <v>509.74</v>
      </c>
      <c r="P463" s="162">
        <v>60000</v>
      </c>
      <c r="Q463" s="178">
        <v>60000</v>
      </c>
      <c r="R463" s="165"/>
      <c r="S463" s="165">
        <v>60000</v>
      </c>
      <c r="T463" s="165"/>
      <c r="U463" s="178">
        <v>60000</v>
      </c>
      <c r="V463" s="181">
        <f t="shared" si="61"/>
        <v>0</v>
      </c>
      <c r="W463" s="180">
        <f t="shared" si="62"/>
        <v>0</v>
      </c>
    </row>
    <row r="464" spans="1:26" s="188" customFormat="1" ht="15.75" hidden="1">
      <c r="A464" s="160" t="s">
        <v>929</v>
      </c>
      <c r="B464" s="160" t="s">
        <v>388</v>
      </c>
      <c r="D464" s="165"/>
      <c r="E464" s="165">
        <v>3087</v>
      </c>
      <c r="F464" s="165"/>
      <c r="G464" s="165">
        <v>1393.3</v>
      </c>
      <c r="H464" s="165"/>
      <c r="I464" s="165">
        <v>0</v>
      </c>
      <c r="J464" s="165"/>
      <c r="K464" s="165">
        <v>470.47</v>
      </c>
      <c r="L464" s="165"/>
      <c r="M464" s="165">
        <v>0</v>
      </c>
      <c r="N464" s="165"/>
      <c r="O464" s="162"/>
      <c r="P464" s="162"/>
      <c r="Q464" s="165"/>
      <c r="R464" s="165"/>
      <c r="S464" s="165"/>
      <c r="T464" s="165"/>
      <c r="U464" s="165"/>
      <c r="V464" s="181" t="e">
        <f t="shared" si="61"/>
        <v>#DIV/0!</v>
      </c>
      <c r="W464" s="180">
        <f>S464-Q464</f>
        <v>0</v>
      </c>
      <c r="X464" s="160"/>
    </row>
    <row r="465" spans="1:24" s="188" customFormat="1" ht="15.75">
      <c r="A465" s="160" t="s">
        <v>929</v>
      </c>
      <c r="B465" s="160" t="s">
        <v>388</v>
      </c>
      <c r="D465" s="165"/>
      <c r="E465" s="165"/>
      <c r="F465" s="165"/>
      <c r="G465" s="165"/>
      <c r="H465" s="165"/>
      <c r="I465" s="165"/>
      <c r="J465" s="165"/>
      <c r="K465" s="165"/>
      <c r="L465" s="165"/>
      <c r="M465" s="165"/>
      <c r="N465" s="165"/>
      <c r="O465" s="162"/>
      <c r="P465" s="162">
        <v>1562</v>
      </c>
      <c r="Q465" s="165">
        <v>1600</v>
      </c>
      <c r="R465" s="165"/>
      <c r="S465" s="165">
        <v>1565</v>
      </c>
      <c r="T465" s="165"/>
      <c r="U465" s="165">
        <v>1600</v>
      </c>
      <c r="V465" s="181">
        <f t="shared" si="61"/>
        <v>0</v>
      </c>
      <c r="W465" s="180"/>
      <c r="X465" s="160"/>
    </row>
    <row r="466" spans="1:24" s="188" customFormat="1" ht="15.75">
      <c r="A466" s="160" t="s">
        <v>648</v>
      </c>
      <c r="B466" s="160" t="s">
        <v>389</v>
      </c>
      <c r="D466" s="165"/>
      <c r="E466" s="165">
        <v>3087</v>
      </c>
      <c r="F466" s="165"/>
      <c r="G466" s="165">
        <v>1393.3</v>
      </c>
      <c r="H466" s="165"/>
      <c r="I466" s="165">
        <v>1769.75</v>
      </c>
      <c r="J466" s="165"/>
      <c r="K466" s="165">
        <v>1411.41</v>
      </c>
      <c r="L466" s="165"/>
      <c r="M466" s="165">
        <v>1833.49</v>
      </c>
      <c r="N466" s="165">
        <v>1346.12</v>
      </c>
      <c r="O466" s="162">
        <v>3654.88</v>
      </c>
      <c r="P466" s="162">
        <v>6794.44</v>
      </c>
      <c r="Q466" s="165">
        <v>7000</v>
      </c>
      <c r="R466" s="165"/>
      <c r="S466" s="165">
        <v>5808.3</v>
      </c>
      <c r="T466" s="165"/>
      <c r="U466" s="165">
        <v>6000</v>
      </c>
      <c r="V466" s="181">
        <f t="shared" si="61"/>
        <v>-0.14285714285714285</v>
      </c>
      <c r="W466" s="180">
        <f t="shared" si="62"/>
        <v>-1191.6999999999998</v>
      </c>
      <c r="X466" s="160"/>
    </row>
    <row r="467" spans="1:24" s="188" customFormat="1" ht="15.75" hidden="1">
      <c r="A467" s="160" t="s">
        <v>945</v>
      </c>
      <c r="B467" s="160" t="s">
        <v>946</v>
      </c>
      <c r="D467" s="165"/>
      <c r="E467" s="165">
        <v>1916</v>
      </c>
      <c r="F467" s="165"/>
      <c r="G467" s="165">
        <v>0</v>
      </c>
      <c r="H467" s="165"/>
      <c r="I467" s="165">
        <v>51364.480000000003</v>
      </c>
      <c r="J467" s="165"/>
      <c r="K467" s="165">
        <v>0</v>
      </c>
      <c r="L467" s="165"/>
      <c r="M467" s="165">
        <v>6096.97</v>
      </c>
      <c r="N467" s="165">
        <v>40635.4</v>
      </c>
      <c r="O467" s="162"/>
      <c r="P467" s="162"/>
      <c r="Q467" s="165"/>
      <c r="R467" s="165"/>
      <c r="S467" s="165"/>
      <c r="T467" s="165"/>
      <c r="U467" s="165"/>
      <c r="V467" s="181" t="e">
        <f t="shared" si="61"/>
        <v>#DIV/0!</v>
      </c>
      <c r="W467" s="180">
        <f>S467-Q467</f>
        <v>0</v>
      </c>
      <c r="X467" s="160"/>
    </row>
    <row r="468" spans="1:24" s="188" customFormat="1" ht="15.75">
      <c r="A468" s="160" t="s">
        <v>781</v>
      </c>
      <c r="B468" s="160" t="s">
        <v>606</v>
      </c>
      <c r="D468" s="165"/>
      <c r="E468" s="165">
        <v>1916</v>
      </c>
      <c r="F468" s="165"/>
      <c r="G468" s="165">
        <v>0</v>
      </c>
      <c r="H468" s="165"/>
      <c r="I468" s="165">
        <v>51364.480000000003</v>
      </c>
      <c r="J468" s="165"/>
      <c r="K468" s="165">
        <v>1849.13</v>
      </c>
      <c r="L468" s="165"/>
      <c r="M468" s="165">
        <v>0</v>
      </c>
      <c r="N468" s="165">
        <v>45028</v>
      </c>
      <c r="O468" s="162">
        <v>29563.42</v>
      </c>
      <c r="P468" s="162">
        <v>4720</v>
      </c>
      <c r="Q468" s="165">
        <v>0</v>
      </c>
      <c r="R468" s="165"/>
      <c r="S468" s="165">
        <v>0</v>
      </c>
      <c r="T468" s="165"/>
      <c r="U468" s="165">
        <v>0</v>
      </c>
      <c r="V468" s="181" t="e">
        <f t="shared" si="61"/>
        <v>#DIV/0!</v>
      </c>
      <c r="W468" s="180">
        <f>S468-Q468</f>
        <v>0</v>
      </c>
      <c r="X468" s="160"/>
    </row>
    <row r="469" spans="1:24" s="188" customFormat="1" ht="15.75" hidden="1">
      <c r="A469" s="160" t="s">
        <v>970</v>
      </c>
      <c r="B469" s="160" t="s">
        <v>1326</v>
      </c>
      <c r="D469" s="165"/>
      <c r="E469" s="165">
        <v>1916</v>
      </c>
      <c r="F469" s="165"/>
      <c r="G469" s="165">
        <v>0</v>
      </c>
      <c r="H469" s="165"/>
      <c r="I469" s="165">
        <v>51364.480000000003</v>
      </c>
      <c r="J469" s="165"/>
      <c r="K469" s="165">
        <v>1849.13</v>
      </c>
      <c r="L469" s="165"/>
      <c r="M469" s="165">
        <v>0</v>
      </c>
      <c r="N469" s="165">
        <v>12434.66</v>
      </c>
      <c r="O469" s="162">
        <v>19364.759999999998</v>
      </c>
      <c r="P469" s="162"/>
      <c r="Q469" s="165"/>
      <c r="R469" s="165"/>
      <c r="S469" s="165"/>
      <c r="T469" s="165"/>
      <c r="U469" s="165"/>
      <c r="V469" s="181">
        <v>0</v>
      </c>
      <c r="W469" s="180">
        <f>S469-Q469</f>
        <v>0</v>
      </c>
      <c r="X469" s="160"/>
    </row>
    <row r="470" spans="1:24" s="188" customFormat="1" ht="15.75" hidden="1">
      <c r="A470" s="160" t="s">
        <v>1140</v>
      </c>
      <c r="B470" s="160" t="s">
        <v>1141</v>
      </c>
      <c r="D470" s="165"/>
      <c r="E470" s="165">
        <v>1916</v>
      </c>
      <c r="F470" s="165"/>
      <c r="G470" s="165">
        <v>0</v>
      </c>
      <c r="H470" s="165"/>
      <c r="I470" s="165">
        <v>51364.480000000003</v>
      </c>
      <c r="J470" s="165"/>
      <c r="K470" s="165">
        <v>1849.13</v>
      </c>
      <c r="L470" s="165"/>
      <c r="M470" s="165">
        <v>0</v>
      </c>
      <c r="N470" s="165">
        <v>12434.66</v>
      </c>
      <c r="O470" s="162"/>
      <c r="P470" s="162"/>
      <c r="Q470" s="165"/>
      <c r="R470" s="165"/>
      <c r="S470" s="165"/>
      <c r="T470" s="165"/>
      <c r="U470" s="165"/>
      <c r="V470" s="181" t="e">
        <f t="shared" si="61"/>
        <v>#DIV/0!</v>
      </c>
      <c r="W470" s="180">
        <f>S470-Q470</f>
        <v>0</v>
      </c>
      <c r="X470" s="160"/>
    </row>
    <row r="471" spans="1:24" s="188" customFormat="1" ht="15.75">
      <c r="A471" s="160" t="s">
        <v>1418</v>
      </c>
      <c r="B471" s="160" t="s">
        <v>1419</v>
      </c>
      <c r="D471" s="165"/>
      <c r="E471" s="165"/>
      <c r="F471" s="165"/>
      <c r="G471" s="165"/>
      <c r="H471" s="165"/>
      <c r="I471" s="165"/>
      <c r="J471" s="165"/>
      <c r="K471" s="165"/>
      <c r="L471" s="165"/>
      <c r="M471" s="165"/>
      <c r="N471" s="165"/>
      <c r="O471" s="162"/>
      <c r="P471" s="162">
        <v>332540.26</v>
      </c>
      <c r="Q471" s="165">
        <v>0</v>
      </c>
      <c r="R471" s="165"/>
      <c r="S471" s="165">
        <v>152873.76</v>
      </c>
      <c r="T471" s="165"/>
      <c r="U471" s="165">
        <v>0</v>
      </c>
      <c r="V471" s="181"/>
      <c r="W471" s="180"/>
      <c r="X471" s="160"/>
    </row>
    <row r="472" spans="1:24" s="188" customFormat="1" ht="15.75">
      <c r="A472" s="160" t="s">
        <v>891</v>
      </c>
      <c r="B472" s="160" t="s">
        <v>462</v>
      </c>
      <c r="D472" s="165"/>
      <c r="E472" s="165">
        <v>1916</v>
      </c>
      <c r="F472" s="165"/>
      <c r="G472" s="165">
        <v>0</v>
      </c>
      <c r="H472" s="165"/>
      <c r="I472" s="165">
        <v>0</v>
      </c>
      <c r="J472" s="165"/>
      <c r="K472" s="165">
        <v>378.22</v>
      </c>
      <c r="L472" s="165"/>
      <c r="M472" s="165">
        <v>0</v>
      </c>
      <c r="N472" s="165">
        <v>-17.62</v>
      </c>
      <c r="O472" s="162">
        <v>13952.76</v>
      </c>
      <c r="P472" s="162">
        <v>814.36</v>
      </c>
      <c r="Q472" s="165">
        <v>600</v>
      </c>
      <c r="R472" s="165"/>
      <c r="S472" s="165">
        <v>600</v>
      </c>
      <c r="T472" s="165"/>
      <c r="U472" s="165">
        <v>600</v>
      </c>
      <c r="V472" s="181">
        <f t="shared" si="61"/>
        <v>0</v>
      </c>
      <c r="W472" s="180">
        <f t="shared" ref="W472:W523" si="63">S472-Q472</f>
        <v>0</v>
      </c>
      <c r="X472" s="160"/>
    </row>
    <row r="473" spans="1:24" s="188" customFormat="1" ht="15.75">
      <c r="B473" s="172" t="s">
        <v>470</v>
      </c>
      <c r="C473" s="177"/>
      <c r="D473" s="287"/>
      <c r="E473" s="287">
        <f>SUM(E427:E472)</f>
        <v>191656</v>
      </c>
      <c r="F473" s="287"/>
      <c r="G473" s="287">
        <f>SUM(G427:G472)</f>
        <v>168805.51999999996</v>
      </c>
      <c r="H473" s="287"/>
      <c r="I473" s="287">
        <f>SUM(I427:I472)</f>
        <v>327508.32999999996</v>
      </c>
      <c r="J473" s="287"/>
      <c r="K473" s="287">
        <f>SUM(K427:K472)</f>
        <v>226844.52</v>
      </c>
      <c r="L473" s="287"/>
      <c r="M473" s="287">
        <f t="shared" ref="M473:S473" si="64">SUM(M427:M472)</f>
        <v>118766.13</v>
      </c>
      <c r="N473" s="287">
        <f t="shared" si="64"/>
        <v>222036.33000000002</v>
      </c>
      <c r="O473" s="285">
        <f t="shared" si="64"/>
        <v>218107.75999999995</v>
      </c>
      <c r="P473" s="333">
        <f>SUM(P427:P472)</f>
        <v>681986.58000000007</v>
      </c>
      <c r="Q473" s="333">
        <f>SUM(Q427:Q472)</f>
        <v>441773</v>
      </c>
      <c r="R473" s="242">
        <f t="shared" si="64"/>
        <v>0</v>
      </c>
      <c r="S473" s="242">
        <f t="shared" si="64"/>
        <v>550800.98</v>
      </c>
      <c r="T473" s="242"/>
      <c r="U473" s="242">
        <f>SUM(U427:U472)</f>
        <v>448394</v>
      </c>
      <c r="V473" s="384">
        <f>(U473-Q473)/Q473</f>
        <v>1.498733512460019E-2</v>
      </c>
      <c r="W473" s="192">
        <f t="shared" si="63"/>
        <v>109027.97999999998</v>
      </c>
      <c r="X473" s="160"/>
    </row>
    <row r="474" spans="1:24" s="188" customFormat="1" ht="15.75">
      <c r="B474" s="172"/>
      <c r="C474" s="177"/>
      <c r="D474" s="165"/>
      <c r="E474" s="193"/>
      <c r="F474" s="165"/>
      <c r="G474" s="193"/>
      <c r="H474" s="165"/>
      <c r="I474" s="193"/>
      <c r="J474" s="165"/>
      <c r="K474" s="193"/>
      <c r="L474" s="165"/>
      <c r="M474" s="193"/>
      <c r="N474" s="193"/>
      <c r="O474" s="292"/>
      <c r="P474" s="292"/>
      <c r="Q474" s="253"/>
      <c r="R474" s="253"/>
      <c r="S474" s="253"/>
      <c r="T474" s="165"/>
      <c r="U474" s="253"/>
      <c r="V474" s="181"/>
      <c r="W474" s="180"/>
    </row>
    <row r="475" spans="1:24" s="188" customFormat="1" ht="15.75">
      <c r="A475" s="423" t="s">
        <v>1379</v>
      </c>
      <c r="B475" s="423"/>
      <c r="C475" s="423"/>
      <c r="D475" s="193"/>
      <c r="E475" s="165"/>
      <c r="F475" s="193"/>
      <c r="G475" s="165"/>
      <c r="H475" s="193"/>
      <c r="I475" s="165"/>
      <c r="J475" s="193"/>
      <c r="K475" s="165"/>
      <c r="L475" s="193"/>
      <c r="M475" s="165"/>
      <c r="N475" s="165"/>
      <c r="O475" s="162"/>
      <c r="P475" s="162"/>
      <c r="Q475" s="165"/>
      <c r="R475" s="253"/>
      <c r="S475" s="165"/>
      <c r="T475" s="193"/>
      <c r="U475" s="165"/>
      <c r="V475" s="181"/>
      <c r="W475" s="180"/>
    </row>
    <row r="476" spans="1:24" s="188" customFormat="1" ht="15.75">
      <c r="A476" s="160" t="s">
        <v>556</v>
      </c>
      <c r="B476" s="160" t="s">
        <v>418</v>
      </c>
      <c r="D476" s="165"/>
      <c r="E476" s="165">
        <v>70015</v>
      </c>
      <c r="F476" s="165"/>
      <c r="G476" s="165">
        <v>69978.64</v>
      </c>
      <c r="H476" s="165"/>
      <c r="I476" s="165">
        <v>77077.399999999994</v>
      </c>
      <c r="J476" s="165"/>
      <c r="K476" s="165">
        <v>76140.52</v>
      </c>
      <c r="L476" s="165"/>
      <c r="M476" s="165">
        <v>79332.42</v>
      </c>
      <c r="N476" s="165">
        <v>78926.8</v>
      </c>
      <c r="O476" s="162">
        <v>82388.2</v>
      </c>
      <c r="P476" s="162">
        <v>105344.65</v>
      </c>
      <c r="Q476" s="178">
        <v>110220</v>
      </c>
      <c r="R476" s="165"/>
      <c r="S476" s="178">
        <v>110220</v>
      </c>
      <c r="T476" s="165"/>
      <c r="U476" s="178">
        <v>153593</v>
      </c>
      <c r="V476" s="181">
        <f t="shared" ref="V476:V501" si="65">(U476-Q476)/Q476</f>
        <v>0.39351297405189622</v>
      </c>
      <c r="W476" s="180">
        <f t="shared" si="63"/>
        <v>0</v>
      </c>
      <c r="X476" s="160"/>
    </row>
    <row r="477" spans="1:24" s="188" customFormat="1" ht="15.75">
      <c r="A477" s="160" t="s">
        <v>782</v>
      </c>
      <c r="B477" s="160" t="s">
        <v>783</v>
      </c>
      <c r="D477" s="165"/>
      <c r="E477" s="165"/>
      <c r="F477" s="165"/>
      <c r="G477" s="165">
        <v>0</v>
      </c>
      <c r="H477" s="165"/>
      <c r="I477" s="165">
        <v>31.61</v>
      </c>
      <c r="J477" s="165"/>
      <c r="K477" s="165">
        <v>54.47</v>
      </c>
      <c r="L477" s="165"/>
      <c r="M477" s="165">
        <v>181.2</v>
      </c>
      <c r="N477" s="165">
        <v>0</v>
      </c>
      <c r="O477" s="162">
        <v>0</v>
      </c>
      <c r="P477" s="162">
        <v>0</v>
      </c>
      <c r="Q477" s="178">
        <v>500</v>
      </c>
      <c r="R477" s="165"/>
      <c r="S477" s="178">
        <v>500</v>
      </c>
      <c r="T477" s="165"/>
      <c r="U477" s="178">
        <v>500</v>
      </c>
      <c r="V477" s="181">
        <f t="shared" si="65"/>
        <v>0</v>
      </c>
      <c r="W477" s="180">
        <f t="shared" si="63"/>
        <v>0</v>
      </c>
      <c r="X477" s="160"/>
    </row>
    <row r="478" spans="1:24" s="188" customFormat="1" ht="15.75">
      <c r="A478" s="161" t="s">
        <v>232</v>
      </c>
      <c r="B478" s="160" t="s">
        <v>105</v>
      </c>
      <c r="D478" s="165"/>
      <c r="E478" s="165">
        <v>4013</v>
      </c>
      <c r="F478" s="165"/>
      <c r="G478" s="165">
        <v>4050.27</v>
      </c>
      <c r="H478" s="165"/>
      <c r="I478" s="165">
        <v>4489.96</v>
      </c>
      <c r="J478" s="165"/>
      <c r="K478" s="165">
        <v>4570.3500000000004</v>
      </c>
      <c r="L478" s="165"/>
      <c r="M478" s="165">
        <v>4759.34</v>
      </c>
      <c r="N478" s="165">
        <v>4398.43</v>
      </c>
      <c r="O478" s="162">
        <v>4851.6499999999996</v>
      </c>
      <c r="P478" s="162">
        <v>6503.04</v>
      </c>
      <c r="Q478" s="178">
        <v>6865</v>
      </c>
      <c r="R478" s="165"/>
      <c r="S478" s="178">
        <v>7500</v>
      </c>
      <c r="T478" s="165"/>
      <c r="U478" s="178">
        <v>9554</v>
      </c>
      <c r="V478" s="181">
        <f t="shared" si="65"/>
        <v>0.39169701383831029</v>
      </c>
      <c r="W478" s="180">
        <f t="shared" si="63"/>
        <v>635</v>
      </c>
      <c r="X478" s="160"/>
    </row>
    <row r="479" spans="1:24" s="188" customFormat="1" ht="15.75">
      <c r="A479" s="161" t="s">
        <v>233</v>
      </c>
      <c r="B479" s="160" t="s">
        <v>67</v>
      </c>
      <c r="D479" s="165"/>
      <c r="E479" s="165">
        <v>939</v>
      </c>
      <c r="F479" s="165"/>
      <c r="G479" s="165">
        <v>947.22</v>
      </c>
      <c r="H479" s="165"/>
      <c r="I479" s="165">
        <v>1050.07</v>
      </c>
      <c r="J479" s="165"/>
      <c r="K479" s="165">
        <v>1068.8900000000001</v>
      </c>
      <c r="L479" s="165"/>
      <c r="M479" s="165">
        <v>1113.0899999999999</v>
      </c>
      <c r="N479" s="165">
        <v>1028.67</v>
      </c>
      <c r="O479" s="162">
        <v>1134.6199999999999</v>
      </c>
      <c r="P479" s="162">
        <v>1520.88</v>
      </c>
      <c r="Q479" s="178">
        <v>1605</v>
      </c>
      <c r="R479" s="165"/>
      <c r="S479" s="178">
        <v>1750</v>
      </c>
      <c r="T479" s="165"/>
      <c r="U479" s="178">
        <v>2235</v>
      </c>
      <c r="V479" s="181">
        <f t="shared" si="65"/>
        <v>0.3925233644859813</v>
      </c>
      <c r="W479" s="180">
        <f t="shared" si="63"/>
        <v>145</v>
      </c>
      <c r="X479" s="160"/>
    </row>
    <row r="480" spans="1:24" s="188" customFormat="1" ht="15.75">
      <c r="A480" s="161" t="s">
        <v>234</v>
      </c>
      <c r="B480" s="160" t="s">
        <v>68</v>
      </c>
      <c r="D480" s="165"/>
      <c r="E480" s="165">
        <v>15587</v>
      </c>
      <c r="F480" s="165"/>
      <c r="G480" s="165">
        <v>22511.18</v>
      </c>
      <c r="H480" s="165"/>
      <c r="I480" s="165">
        <v>25621.759999999998</v>
      </c>
      <c r="J480" s="165"/>
      <c r="K480" s="165">
        <v>27512.32</v>
      </c>
      <c r="L480" s="165"/>
      <c r="M480" s="165">
        <v>25679.360000000001</v>
      </c>
      <c r="N480" s="165">
        <v>36048.85</v>
      </c>
      <c r="O480" s="162">
        <v>8503.64</v>
      </c>
      <c r="P480" s="162">
        <v>16081.3</v>
      </c>
      <c r="Q480" s="178">
        <v>16514</v>
      </c>
      <c r="R480" s="165"/>
      <c r="S480" s="178">
        <v>16514</v>
      </c>
      <c r="T480" s="165"/>
      <c r="U480" s="178">
        <v>23780</v>
      </c>
      <c r="V480" s="181">
        <f t="shared" si="65"/>
        <v>0.4399903112510597</v>
      </c>
      <c r="W480" s="180">
        <f t="shared" si="63"/>
        <v>0</v>
      </c>
      <c r="X480" s="160"/>
    </row>
    <row r="481" spans="1:26" s="188" customFormat="1" ht="15.75">
      <c r="A481" s="161" t="s">
        <v>235</v>
      </c>
      <c r="B481" s="160" t="s">
        <v>69</v>
      </c>
      <c r="D481" s="165"/>
      <c r="E481" s="165">
        <v>621</v>
      </c>
      <c r="F481" s="165"/>
      <c r="G481" s="165">
        <v>523.80999999999995</v>
      </c>
      <c r="H481" s="165"/>
      <c r="I481" s="165">
        <v>385.53</v>
      </c>
      <c r="J481" s="165"/>
      <c r="K481" s="165">
        <v>233.95</v>
      </c>
      <c r="L481" s="165"/>
      <c r="M481" s="165">
        <v>907.22</v>
      </c>
      <c r="N481" s="165">
        <v>14.02</v>
      </c>
      <c r="O481" s="162">
        <v>437.89</v>
      </c>
      <c r="P481" s="162">
        <v>687.37</v>
      </c>
      <c r="Q481" s="178">
        <v>756</v>
      </c>
      <c r="R481" s="165"/>
      <c r="S481" s="178">
        <v>50</v>
      </c>
      <c r="T481" s="165"/>
      <c r="U481" s="178">
        <v>360</v>
      </c>
      <c r="V481" s="181">
        <f t="shared" si="65"/>
        <v>-0.52380952380952384</v>
      </c>
      <c r="W481" s="180">
        <f t="shared" si="63"/>
        <v>-706</v>
      </c>
      <c r="X481" s="160"/>
    </row>
    <row r="482" spans="1:26" s="188" customFormat="1" ht="15.75">
      <c r="A482" s="161" t="s">
        <v>236</v>
      </c>
      <c r="B482" s="160" t="s">
        <v>70</v>
      </c>
      <c r="D482" s="165"/>
      <c r="E482" s="165">
        <v>3386</v>
      </c>
      <c r="F482" s="165"/>
      <c r="G482" s="165">
        <v>2570.84</v>
      </c>
      <c r="H482" s="165"/>
      <c r="I482" s="165">
        <v>2498.77</v>
      </c>
      <c r="J482" s="165"/>
      <c r="K482" s="165">
        <v>2582.61</v>
      </c>
      <c r="L482" s="165"/>
      <c r="M482" s="165">
        <v>-1237.05</v>
      </c>
      <c r="N482" s="165">
        <v>949.09</v>
      </c>
      <c r="O482" s="162">
        <v>962.17</v>
      </c>
      <c r="P482" s="162">
        <v>7802.26</v>
      </c>
      <c r="Q482" s="178">
        <v>8182</v>
      </c>
      <c r="R482" s="165"/>
      <c r="S482" s="178">
        <v>8600</v>
      </c>
      <c r="T482" s="165"/>
      <c r="U482" s="178">
        <v>10803</v>
      </c>
      <c r="V482" s="181">
        <f t="shared" si="65"/>
        <v>0.32033732583720359</v>
      </c>
      <c r="W482" s="180">
        <f t="shared" si="63"/>
        <v>418</v>
      </c>
      <c r="X482" s="160"/>
    </row>
    <row r="483" spans="1:26" s="188" customFormat="1" ht="15.75">
      <c r="A483" s="161" t="s">
        <v>237</v>
      </c>
      <c r="B483" s="160" t="s">
        <v>106</v>
      </c>
      <c r="D483" s="253"/>
      <c r="E483" s="165">
        <v>1489</v>
      </c>
      <c r="F483" s="253"/>
      <c r="G483" s="165">
        <v>-1534.35</v>
      </c>
      <c r="H483" s="253"/>
      <c r="I483" s="165">
        <v>355.07</v>
      </c>
      <c r="J483" s="253"/>
      <c r="K483" s="165">
        <v>332.08</v>
      </c>
      <c r="L483" s="253"/>
      <c r="M483" s="165">
        <v>306.41000000000003</v>
      </c>
      <c r="N483" s="165">
        <v>312.14</v>
      </c>
      <c r="O483" s="162">
        <v>208.27</v>
      </c>
      <c r="P483" s="162">
        <v>334.56</v>
      </c>
      <c r="Q483" s="178">
        <v>346</v>
      </c>
      <c r="R483" s="165"/>
      <c r="S483" s="178">
        <v>381</v>
      </c>
      <c r="T483" s="253"/>
      <c r="U483" s="178">
        <v>488</v>
      </c>
      <c r="V483" s="181">
        <f t="shared" si="65"/>
        <v>0.41040462427745666</v>
      </c>
      <c r="W483" s="180">
        <f t="shared" si="63"/>
        <v>35</v>
      </c>
      <c r="X483" s="160"/>
    </row>
    <row r="484" spans="1:26" s="188" customFormat="1" ht="15.75">
      <c r="A484" s="161" t="s">
        <v>252</v>
      </c>
      <c r="B484" s="160" t="s">
        <v>392</v>
      </c>
      <c r="D484" s="253"/>
      <c r="E484" s="165">
        <v>212</v>
      </c>
      <c r="F484" s="253"/>
      <c r="G484" s="165">
        <v>393.73</v>
      </c>
      <c r="H484" s="253"/>
      <c r="I484" s="165">
        <v>417.62</v>
      </c>
      <c r="J484" s="253"/>
      <c r="K484" s="165">
        <v>430.39</v>
      </c>
      <c r="L484" s="253"/>
      <c r="M484" s="165">
        <v>486.75</v>
      </c>
      <c r="N484" s="165">
        <v>273.16000000000003</v>
      </c>
      <c r="O484" s="162">
        <v>115.2</v>
      </c>
      <c r="P484" s="162">
        <v>125.55</v>
      </c>
      <c r="Q484" s="178">
        <v>130</v>
      </c>
      <c r="R484" s="165"/>
      <c r="S484" s="178">
        <v>100</v>
      </c>
      <c r="T484" s="253"/>
      <c r="U484" s="178">
        <v>163</v>
      </c>
      <c r="V484" s="181">
        <f t="shared" si="65"/>
        <v>0.25384615384615383</v>
      </c>
      <c r="W484" s="180">
        <f t="shared" si="63"/>
        <v>-30</v>
      </c>
      <c r="X484" s="160"/>
    </row>
    <row r="485" spans="1:26" s="188" customFormat="1" ht="15.75">
      <c r="A485" s="160" t="s">
        <v>557</v>
      </c>
      <c r="B485" s="160" t="s">
        <v>390</v>
      </c>
      <c r="D485" s="165"/>
      <c r="E485" s="165">
        <v>2705</v>
      </c>
      <c r="F485" s="165"/>
      <c r="G485" s="165">
        <v>2522.29</v>
      </c>
      <c r="H485" s="165"/>
      <c r="I485" s="165">
        <v>1641.97</v>
      </c>
      <c r="J485" s="165"/>
      <c r="K485" s="165">
        <v>1585.2</v>
      </c>
      <c r="L485" s="165"/>
      <c r="M485" s="165">
        <v>3301.32</v>
      </c>
      <c r="N485" s="165">
        <v>2038.84</v>
      </c>
      <c r="O485" s="162">
        <v>2952.07</v>
      </c>
      <c r="P485" s="162">
        <v>3131.96</v>
      </c>
      <c r="Q485" s="165">
        <v>3000</v>
      </c>
      <c r="R485" s="165"/>
      <c r="S485" s="165">
        <v>3000</v>
      </c>
      <c r="T485" s="165"/>
      <c r="U485" s="165">
        <v>3000</v>
      </c>
      <c r="V485" s="181">
        <f t="shared" si="65"/>
        <v>0</v>
      </c>
      <c r="W485" s="180">
        <f t="shared" si="63"/>
        <v>0</v>
      </c>
      <c r="X485" s="160"/>
    </row>
    <row r="486" spans="1:26" ht="15.75">
      <c r="A486" s="160" t="s">
        <v>558</v>
      </c>
      <c r="B486" s="160" t="s">
        <v>384</v>
      </c>
      <c r="C486" s="160"/>
      <c r="D486" s="165"/>
      <c r="E486" s="165">
        <v>10160</v>
      </c>
      <c r="F486" s="165"/>
      <c r="G486" s="165">
        <v>13135.31</v>
      </c>
      <c r="H486" s="165"/>
      <c r="I486" s="165">
        <v>11295.92</v>
      </c>
      <c r="J486" s="165"/>
      <c r="K486" s="165">
        <v>9632.7199999999993</v>
      </c>
      <c r="L486" s="165"/>
      <c r="M486" s="165">
        <v>11065.37</v>
      </c>
      <c r="N486" s="165">
        <v>10121</v>
      </c>
      <c r="O486" s="162">
        <v>11075.03</v>
      </c>
      <c r="P486" s="162">
        <v>6032.44</v>
      </c>
      <c r="Q486" s="165">
        <v>6500</v>
      </c>
      <c r="R486" s="165"/>
      <c r="S486" s="165">
        <v>5000</v>
      </c>
      <c r="T486" s="165"/>
      <c r="U486" s="165">
        <v>5000</v>
      </c>
      <c r="V486" s="181">
        <f t="shared" si="65"/>
        <v>-0.23076923076923078</v>
      </c>
      <c r="W486" s="180">
        <f t="shared" si="63"/>
        <v>-1500</v>
      </c>
      <c r="Z486" s="188"/>
    </row>
    <row r="487" spans="1:26">
      <c r="A487" s="160" t="s">
        <v>559</v>
      </c>
      <c r="B487" s="160" t="s">
        <v>385</v>
      </c>
      <c r="C487" s="160"/>
      <c r="D487" s="165"/>
      <c r="E487" s="165">
        <v>1743</v>
      </c>
      <c r="F487" s="165"/>
      <c r="G487" s="165">
        <v>3377.05</v>
      </c>
      <c r="H487" s="165"/>
      <c r="I487" s="165">
        <v>2739</v>
      </c>
      <c r="J487" s="165"/>
      <c r="K487" s="165">
        <v>3242.76</v>
      </c>
      <c r="L487" s="165"/>
      <c r="M487" s="165">
        <v>3840.08</v>
      </c>
      <c r="N487" s="165">
        <v>1517.88</v>
      </c>
      <c r="O487" s="162">
        <v>1410.27</v>
      </c>
      <c r="P487" s="162">
        <v>1259.52</v>
      </c>
      <c r="Q487" s="165">
        <v>1300</v>
      </c>
      <c r="R487" s="165"/>
      <c r="S487" s="165">
        <v>1300</v>
      </c>
      <c r="T487" s="165"/>
      <c r="U487" s="165">
        <v>1320</v>
      </c>
      <c r="V487" s="181">
        <f t="shared" si="65"/>
        <v>1.5384615384615385E-2</v>
      </c>
      <c r="W487" s="180">
        <f t="shared" si="63"/>
        <v>0</v>
      </c>
    </row>
    <row r="488" spans="1:26" hidden="1">
      <c r="A488" s="161" t="s">
        <v>238</v>
      </c>
      <c r="B488" s="160" t="s">
        <v>370</v>
      </c>
      <c r="C488" s="160"/>
      <c r="D488" s="165"/>
      <c r="E488" s="165">
        <v>60</v>
      </c>
      <c r="F488" s="165"/>
      <c r="G488" s="165">
        <v>0</v>
      </c>
      <c r="H488" s="165"/>
      <c r="I488" s="165">
        <v>0</v>
      </c>
      <c r="J488" s="165"/>
      <c r="K488" s="165">
        <v>0</v>
      </c>
      <c r="L488" s="165"/>
      <c r="M488" s="165">
        <v>56</v>
      </c>
      <c r="N488" s="165">
        <v>84</v>
      </c>
      <c r="O488" s="162">
        <v>21</v>
      </c>
      <c r="P488" s="162"/>
      <c r="R488" s="165"/>
      <c r="T488" s="165"/>
      <c r="V488" s="181">
        <v>0</v>
      </c>
      <c r="W488" s="180">
        <f t="shared" si="63"/>
        <v>0</v>
      </c>
    </row>
    <row r="489" spans="1:26" ht="15.75">
      <c r="A489" s="160" t="s">
        <v>560</v>
      </c>
      <c r="B489" s="160" t="s">
        <v>72</v>
      </c>
      <c r="C489" s="160"/>
      <c r="D489" s="165"/>
      <c r="E489" s="165">
        <v>804</v>
      </c>
      <c r="F489" s="165"/>
      <c r="G489" s="165">
        <v>239.58</v>
      </c>
      <c r="H489" s="165"/>
      <c r="I489" s="165">
        <v>268.5</v>
      </c>
      <c r="J489" s="165"/>
      <c r="K489" s="165">
        <v>414.37</v>
      </c>
      <c r="L489" s="165"/>
      <c r="M489" s="165">
        <v>126.16</v>
      </c>
      <c r="N489" s="165">
        <v>922.24</v>
      </c>
      <c r="O489" s="162">
        <v>1485.22</v>
      </c>
      <c r="P489" s="162">
        <v>187.79</v>
      </c>
      <c r="Q489" s="165">
        <v>1000</v>
      </c>
      <c r="R489" s="165"/>
      <c r="S489" s="165">
        <v>1000</v>
      </c>
      <c r="T489" s="165"/>
      <c r="U489" s="165">
        <v>1000</v>
      </c>
      <c r="V489" s="181">
        <f t="shared" si="65"/>
        <v>0</v>
      </c>
      <c r="W489" s="180">
        <f t="shared" si="63"/>
        <v>0</v>
      </c>
      <c r="X489" s="188"/>
    </row>
    <row r="490" spans="1:26">
      <c r="A490" s="160" t="s">
        <v>561</v>
      </c>
      <c r="B490" s="160" t="s">
        <v>373</v>
      </c>
      <c r="C490" s="160"/>
      <c r="D490" s="165"/>
      <c r="E490" s="165">
        <v>121</v>
      </c>
      <c r="F490" s="165"/>
      <c r="G490" s="165">
        <v>30.83</v>
      </c>
      <c r="H490" s="165"/>
      <c r="I490" s="165">
        <v>30.83</v>
      </c>
      <c r="J490" s="165"/>
      <c r="K490" s="165">
        <v>57.08</v>
      </c>
      <c r="L490" s="165"/>
      <c r="M490" s="165">
        <v>65.83</v>
      </c>
      <c r="N490" s="165">
        <v>75.83</v>
      </c>
      <c r="O490" s="162">
        <v>175.83</v>
      </c>
      <c r="P490" s="162">
        <v>194.83</v>
      </c>
      <c r="Q490" s="165">
        <v>200</v>
      </c>
      <c r="R490" s="165"/>
      <c r="S490" s="165">
        <v>201.83</v>
      </c>
      <c r="T490" s="165"/>
      <c r="U490" s="165">
        <v>225</v>
      </c>
      <c r="V490" s="181">
        <f t="shared" si="65"/>
        <v>0.125</v>
      </c>
      <c r="W490" s="180">
        <f t="shared" si="63"/>
        <v>1.8300000000000125</v>
      </c>
    </row>
    <row r="491" spans="1:26" s="188" customFormat="1" ht="15.75">
      <c r="A491" s="160" t="s">
        <v>562</v>
      </c>
      <c r="B491" s="160" t="s">
        <v>387</v>
      </c>
      <c r="D491" s="193"/>
      <c r="E491" s="165">
        <v>1201</v>
      </c>
      <c r="F491" s="193"/>
      <c r="G491" s="165">
        <v>1514.35</v>
      </c>
      <c r="H491" s="193"/>
      <c r="I491" s="165">
        <v>1657.83</v>
      </c>
      <c r="J491" s="193"/>
      <c r="K491" s="165">
        <v>1460</v>
      </c>
      <c r="L491" s="193"/>
      <c r="M491" s="165">
        <v>982.73</v>
      </c>
      <c r="N491" s="165">
        <v>1354.18</v>
      </c>
      <c r="O491" s="162">
        <v>1225.5999999999999</v>
      </c>
      <c r="P491" s="162">
        <v>395.36</v>
      </c>
      <c r="Q491" s="165">
        <v>500</v>
      </c>
      <c r="R491" s="165"/>
      <c r="S491" s="165">
        <v>5000</v>
      </c>
      <c r="T491" s="193"/>
      <c r="U491" s="165">
        <v>500</v>
      </c>
      <c r="V491" s="181">
        <f t="shared" si="65"/>
        <v>0</v>
      </c>
      <c r="W491" s="180">
        <f t="shared" si="63"/>
        <v>4500</v>
      </c>
      <c r="X491" s="160"/>
    </row>
    <row r="492" spans="1:26" s="188" customFormat="1" ht="15.75">
      <c r="A492" s="160" t="s">
        <v>563</v>
      </c>
      <c r="B492" s="259" t="s">
        <v>74</v>
      </c>
      <c r="D492" s="165"/>
      <c r="E492" s="165">
        <v>3025</v>
      </c>
      <c r="F492" s="165"/>
      <c r="G492" s="165">
        <v>1704.42</v>
      </c>
      <c r="H492" s="165"/>
      <c r="I492" s="165">
        <v>1272.6300000000001</v>
      </c>
      <c r="J492" s="165"/>
      <c r="K492" s="165">
        <v>996.33</v>
      </c>
      <c r="L492" s="165"/>
      <c r="M492" s="165">
        <v>3694.97</v>
      </c>
      <c r="N492" s="165">
        <v>698.87</v>
      </c>
      <c r="O492" s="162">
        <v>2566.5500000000002</v>
      </c>
      <c r="P492" s="162">
        <v>8184.71</v>
      </c>
      <c r="Q492" s="165">
        <v>10900</v>
      </c>
      <c r="R492" s="165"/>
      <c r="S492" s="165">
        <v>10900</v>
      </c>
      <c r="T492" s="165"/>
      <c r="U492" s="165">
        <v>2000</v>
      </c>
      <c r="V492" s="181">
        <f t="shared" si="65"/>
        <v>-0.8165137614678899</v>
      </c>
      <c r="W492" s="180">
        <f t="shared" si="63"/>
        <v>0</v>
      </c>
      <c r="X492" s="160"/>
    </row>
    <row r="493" spans="1:26">
      <c r="A493" s="160" t="s">
        <v>715</v>
      </c>
      <c r="B493" s="160" t="s">
        <v>388</v>
      </c>
      <c r="C493" s="160"/>
      <c r="D493" s="165"/>
      <c r="E493" s="165">
        <v>0</v>
      </c>
      <c r="F493" s="165"/>
      <c r="G493" s="165">
        <v>4648</v>
      </c>
      <c r="H493" s="165"/>
      <c r="I493" s="165">
        <v>4726</v>
      </c>
      <c r="J493" s="165"/>
      <c r="K493" s="165">
        <v>4965</v>
      </c>
      <c r="L493" s="165"/>
      <c r="M493" s="165">
        <v>5208</v>
      </c>
      <c r="N493" s="165">
        <v>5650</v>
      </c>
      <c r="O493" s="162">
        <v>4448</v>
      </c>
      <c r="P493" s="162">
        <v>5332</v>
      </c>
      <c r="Q493" s="165">
        <v>5500</v>
      </c>
      <c r="R493" s="165"/>
      <c r="S493" s="165">
        <v>5341</v>
      </c>
      <c r="T493" s="165"/>
      <c r="U493" s="165">
        <v>5400</v>
      </c>
      <c r="V493" s="181">
        <f t="shared" si="65"/>
        <v>-1.8181818181818181E-2</v>
      </c>
      <c r="W493" s="180">
        <f t="shared" si="63"/>
        <v>-159</v>
      </c>
    </row>
    <row r="494" spans="1:26">
      <c r="A494" s="160" t="s">
        <v>564</v>
      </c>
      <c r="B494" s="160" t="s">
        <v>389</v>
      </c>
      <c r="C494" s="160"/>
      <c r="D494" s="165"/>
      <c r="E494" s="165">
        <v>4465</v>
      </c>
      <c r="F494" s="165"/>
      <c r="G494" s="165">
        <v>920.6</v>
      </c>
      <c r="H494" s="165"/>
      <c r="I494" s="165">
        <v>1235.24</v>
      </c>
      <c r="J494" s="165"/>
      <c r="K494" s="165">
        <v>840.48</v>
      </c>
      <c r="L494" s="165"/>
      <c r="M494" s="165">
        <v>815.77</v>
      </c>
      <c r="N494" s="165">
        <v>787.28</v>
      </c>
      <c r="O494" s="162">
        <v>1335.28</v>
      </c>
      <c r="P494" s="162">
        <v>1362.84</v>
      </c>
      <c r="Q494" s="165">
        <v>1600</v>
      </c>
      <c r="R494" s="165"/>
      <c r="S494" s="165">
        <v>2061.62</v>
      </c>
      <c r="T494" s="165"/>
      <c r="U494" s="165">
        <v>2100</v>
      </c>
      <c r="V494" s="181">
        <f t="shared" si="65"/>
        <v>0.3125</v>
      </c>
      <c r="W494" s="180">
        <f t="shared" si="63"/>
        <v>461.61999999999989</v>
      </c>
    </row>
    <row r="495" spans="1:26" hidden="1">
      <c r="A495" s="161" t="s">
        <v>1132</v>
      </c>
      <c r="B495" s="160" t="s">
        <v>427</v>
      </c>
      <c r="C495" s="160"/>
      <c r="D495" s="165"/>
      <c r="E495" s="165"/>
      <c r="F495" s="165"/>
      <c r="G495" s="165">
        <v>7975</v>
      </c>
      <c r="H495" s="165"/>
      <c r="I495" s="165">
        <v>0</v>
      </c>
      <c r="J495" s="165"/>
      <c r="K495" s="165">
        <v>8341.42</v>
      </c>
      <c r="L495" s="165"/>
      <c r="M495" s="165">
        <v>23313.63</v>
      </c>
      <c r="N495" s="165">
        <v>7095</v>
      </c>
      <c r="O495" s="162">
        <v>5099.6000000000004</v>
      </c>
      <c r="P495" s="162"/>
      <c r="R495" s="165"/>
      <c r="T495" s="165"/>
      <c r="V495" s="181" t="e">
        <f t="shared" si="65"/>
        <v>#DIV/0!</v>
      </c>
      <c r="W495" s="180">
        <f>S495-Q495</f>
        <v>0</v>
      </c>
    </row>
    <row r="496" spans="1:26">
      <c r="A496" s="161" t="s">
        <v>239</v>
      </c>
      <c r="B496" s="160" t="s">
        <v>634</v>
      </c>
      <c r="C496" s="160"/>
      <c r="D496" s="165"/>
      <c r="E496" s="165">
        <v>2988</v>
      </c>
      <c r="F496" s="165"/>
      <c r="G496" s="165">
        <v>2988</v>
      </c>
      <c r="H496" s="165"/>
      <c r="I496" s="165">
        <v>2988</v>
      </c>
      <c r="J496" s="165"/>
      <c r="K496" s="165">
        <v>2490</v>
      </c>
      <c r="L496" s="165"/>
      <c r="M496" s="165">
        <v>2664.67</v>
      </c>
      <c r="N496" s="165">
        <v>2100</v>
      </c>
      <c r="O496" s="162">
        <v>2100</v>
      </c>
      <c r="P496" s="162">
        <v>2802.5</v>
      </c>
      <c r="Q496" s="165">
        <v>3500</v>
      </c>
      <c r="R496" s="165"/>
      <c r="S496" s="165">
        <v>3500</v>
      </c>
      <c r="T496" s="165"/>
      <c r="U496" s="165">
        <v>3500</v>
      </c>
      <c r="V496" s="181">
        <f t="shared" si="65"/>
        <v>0</v>
      </c>
      <c r="W496" s="180">
        <f t="shared" si="63"/>
        <v>0</v>
      </c>
    </row>
    <row r="497" spans="1:60">
      <c r="A497" s="161" t="s">
        <v>784</v>
      </c>
      <c r="B497" s="160" t="s">
        <v>606</v>
      </c>
      <c r="C497" s="160"/>
      <c r="D497" s="165"/>
      <c r="E497" s="165"/>
      <c r="F497" s="165"/>
      <c r="G497" s="165">
        <v>7975</v>
      </c>
      <c r="H497" s="165"/>
      <c r="I497" s="165">
        <v>0</v>
      </c>
      <c r="J497" s="165"/>
      <c r="K497" s="165">
        <v>8341.42</v>
      </c>
      <c r="L497" s="165"/>
      <c r="M497" s="165">
        <v>23313.63</v>
      </c>
      <c r="N497" s="165">
        <v>7095</v>
      </c>
      <c r="O497" s="162">
        <v>0</v>
      </c>
      <c r="P497" s="162">
        <v>0</v>
      </c>
      <c r="Q497" s="165">
        <v>2000</v>
      </c>
      <c r="R497" s="165"/>
      <c r="S497" s="165">
        <v>10000</v>
      </c>
      <c r="T497" s="165"/>
      <c r="U497" s="165">
        <v>2100</v>
      </c>
      <c r="V497" s="181">
        <v>0</v>
      </c>
      <c r="W497" s="180">
        <f t="shared" si="63"/>
        <v>8000</v>
      </c>
    </row>
    <row r="498" spans="1:60" s="188" customFormat="1" ht="15.75">
      <c r="A498" s="160" t="s">
        <v>649</v>
      </c>
      <c r="B498" s="160" t="s">
        <v>1006</v>
      </c>
      <c r="D498" s="253"/>
      <c r="E498" s="165">
        <v>6815</v>
      </c>
      <c r="F498" s="253"/>
      <c r="G498" s="165">
        <v>1919.38</v>
      </c>
      <c r="H498" s="253"/>
      <c r="I498" s="165">
        <v>2758.42</v>
      </c>
      <c r="J498" s="253"/>
      <c r="K498" s="165">
        <v>5285.06</v>
      </c>
      <c r="L498" s="253"/>
      <c r="M498" s="165">
        <v>2511.56</v>
      </c>
      <c r="N498" s="165">
        <v>2929.56</v>
      </c>
      <c r="O498" s="162">
        <v>2187.5700000000002</v>
      </c>
      <c r="P498" s="162">
        <v>5559.4</v>
      </c>
      <c r="Q498" s="165">
        <v>8200</v>
      </c>
      <c r="R498" s="165"/>
      <c r="S498" s="165">
        <v>2504</v>
      </c>
      <c r="T498" s="253"/>
      <c r="U498" s="165">
        <v>6800</v>
      </c>
      <c r="V498" s="181">
        <f t="shared" si="65"/>
        <v>-0.17073170731707318</v>
      </c>
      <c r="W498" s="180">
        <f>S498-Q498</f>
        <v>-5696</v>
      </c>
      <c r="X498" s="160"/>
    </row>
    <row r="499" spans="1:60" s="188" customFormat="1" ht="15.75">
      <c r="A499" s="160" t="s">
        <v>565</v>
      </c>
      <c r="B499" s="160" t="s">
        <v>441</v>
      </c>
      <c r="D499" s="253"/>
      <c r="E499" s="165">
        <v>9047</v>
      </c>
      <c r="F499" s="253"/>
      <c r="G499" s="165">
        <v>7892.55</v>
      </c>
      <c r="H499" s="253"/>
      <c r="I499" s="165">
        <v>3846.94</v>
      </c>
      <c r="J499" s="253"/>
      <c r="K499" s="165">
        <v>5468.67</v>
      </c>
      <c r="L499" s="253"/>
      <c r="M499" s="165">
        <v>5787.75</v>
      </c>
      <c r="N499" s="165">
        <v>5501.53</v>
      </c>
      <c r="O499" s="162">
        <v>7268.8</v>
      </c>
      <c r="P499" s="162">
        <v>3752.72</v>
      </c>
      <c r="Q499" s="165">
        <v>8500</v>
      </c>
      <c r="R499" s="165"/>
      <c r="S499" s="165">
        <v>8500</v>
      </c>
      <c r="T499" s="253"/>
      <c r="U499" s="165">
        <v>8500</v>
      </c>
      <c r="V499" s="181">
        <f t="shared" si="65"/>
        <v>0</v>
      </c>
      <c r="W499" s="180">
        <f t="shared" si="63"/>
        <v>0</v>
      </c>
      <c r="X499" s="160"/>
    </row>
    <row r="500" spans="1:60" s="188" customFormat="1" ht="15.75" hidden="1">
      <c r="A500" s="160" t="s">
        <v>1248</v>
      </c>
      <c r="B500" s="160" t="s">
        <v>1249</v>
      </c>
      <c r="D500" s="253"/>
      <c r="E500" s="165"/>
      <c r="F500" s="253"/>
      <c r="G500" s="165"/>
      <c r="H500" s="253"/>
      <c r="I500" s="165"/>
      <c r="J500" s="253"/>
      <c r="K500" s="165"/>
      <c r="L500" s="253"/>
      <c r="M500" s="165"/>
      <c r="N500" s="165"/>
      <c r="O500" s="162"/>
      <c r="P500" s="162"/>
      <c r="Q500" s="165"/>
      <c r="R500" s="165"/>
      <c r="S500" s="165"/>
      <c r="T500" s="253"/>
      <c r="U500" s="165"/>
      <c r="V500" s="181">
        <v>0</v>
      </c>
      <c r="W500" s="180">
        <f t="shared" si="63"/>
        <v>0</v>
      </c>
      <c r="X500" s="160"/>
    </row>
    <row r="501" spans="1:60">
      <c r="A501" s="160" t="s">
        <v>591</v>
      </c>
      <c r="B501" s="160" t="s">
        <v>462</v>
      </c>
      <c r="C501" s="160"/>
      <c r="D501" s="165"/>
      <c r="E501" s="165">
        <v>32</v>
      </c>
      <c r="F501" s="165"/>
      <c r="G501" s="165">
        <v>73.83</v>
      </c>
      <c r="H501" s="165"/>
      <c r="I501" s="165">
        <v>69.14</v>
      </c>
      <c r="J501" s="165"/>
      <c r="K501" s="165">
        <v>40.35</v>
      </c>
      <c r="L501" s="165"/>
      <c r="M501" s="165">
        <v>88.21</v>
      </c>
      <c r="N501" s="165">
        <v>70</v>
      </c>
      <c r="O501" s="162">
        <v>22.08</v>
      </c>
      <c r="P501" s="162">
        <v>950.52</v>
      </c>
      <c r="Q501" s="165">
        <v>750</v>
      </c>
      <c r="R501" s="165"/>
      <c r="S501" s="165">
        <v>2000</v>
      </c>
      <c r="T501" s="165"/>
      <c r="U501" s="165">
        <v>2000</v>
      </c>
      <c r="V501" s="181">
        <f t="shared" si="65"/>
        <v>1.6666666666666667</v>
      </c>
      <c r="W501" s="180">
        <f t="shared" si="63"/>
        <v>1250</v>
      </c>
    </row>
    <row r="502" spans="1:60" ht="15.75">
      <c r="B502" s="172" t="s">
        <v>470</v>
      </c>
      <c r="C502" s="177"/>
      <c r="D502" s="332"/>
      <c r="E502" s="287">
        <f>SUM(E476:E501)</f>
        <v>139428</v>
      </c>
      <c r="F502" s="332"/>
      <c r="G502" s="287">
        <f>SUM(G476:G501)</f>
        <v>156357.52999999997</v>
      </c>
      <c r="H502" s="332"/>
      <c r="I502" s="287">
        <f>SUM(I476:I501)</f>
        <v>146458.21000000005</v>
      </c>
      <c r="J502" s="332"/>
      <c r="K502" s="287">
        <f>SUM(K476:K501)</f>
        <v>166086.44000000006</v>
      </c>
      <c r="L502" s="332"/>
      <c r="M502" s="287">
        <f t="shared" ref="M502:U502" si="66">SUM(M476:M501)</f>
        <v>198364.41999999998</v>
      </c>
      <c r="N502" s="287">
        <f t="shared" si="66"/>
        <v>169992.36999999997</v>
      </c>
      <c r="O502" s="285">
        <f t="shared" si="66"/>
        <v>141974.54</v>
      </c>
      <c r="P502" s="333">
        <f t="shared" si="66"/>
        <v>177546.19999999992</v>
      </c>
      <c r="Q502" s="333">
        <f t="shared" si="66"/>
        <v>198568</v>
      </c>
      <c r="R502" s="242">
        <f t="shared" si="66"/>
        <v>0</v>
      </c>
      <c r="S502" s="242">
        <f t="shared" si="66"/>
        <v>205923.44999999998</v>
      </c>
      <c r="T502" s="242">
        <f t="shared" si="66"/>
        <v>0</v>
      </c>
      <c r="U502" s="242">
        <f t="shared" si="66"/>
        <v>244921</v>
      </c>
      <c r="V502" s="384">
        <f>(U502-Q502)/Q502</f>
        <v>0.23343640465734661</v>
      </c>
      <c r="W502" s="192">
        <f t="shared" si="63"/>
        <v>7355.4499999999825</v>
      </c>
    </row>
    <row r="503" spans="1:60" ht="15.75">
      <c r="B503" s="172"/>
      <c r="C503" s="177"/>
      <c r="E503" s="391"/>
      <c r="G503" s="193"/>
      <c r="H503" s="165"/>
      <c r="I503" s="193"/>
      <c r="J503" s="165"/>
      <c r="K503" s="193"/>
      <c r="L503" s="165"/>
      <c r="M503" s="193"/>
      <c r="N503" s="193"/>
      <c r="O503" s="292"/>
      <c r="P503" s="292"/>
      <c r="Q503" s="193"/>
      <c r="R503" s="193"/>
      <c r="S503" s="193"/>
      <c r="T503" s="165"/>
      <c r="U503" s="193"/>
      <c r="W503" s="180"/>
    </row>
    <row r="504" spans="1:60" ht="15.75">
      <c r="A504" s="423" t="s">
        <v>1380</v>
      </c>
      <c r="B504" s="423"/>
      <c r="C504" s="423"/>
      <c r="G504" s="165"/>
      <c r="H504" s="165"/>
      <c r="I504" s="165"/>
      <c r="J504" s="165"/>
      <c r="K504" s="165"/>
      <c r="L504" s="165"/>
      <c r="M504" s="165"/>
      <c r="N504" s="165"/>
      <c r="O504" s="162"/>
      <c r="P504" s="162"/>
      <c r="R504" s="253"/>
      <c r="T504" s="165"/>
      <c r="W504" s="180"/>
    </row>
    <row r="505" spans="1:60" s="188" customFormat="1" ht="15.75" hidden="1">
      <c r="A505" s="160" t="s">
        <v>635</v>
      </c>
      <c r="B505" s="160" t="s">
        <v>156</v>
      </c>
      <c r="D505" s="165"/>
      <c r="E505" s="165">
        <v>1625</v>
      </c>
      <c r="F505" s="165"/>
      <c r="G505" s="165">
        <v>1898.57</v>
      </c>
      <c r="H505" s="165"/>
      <c r="I505" s="165">
        <v>1760.78</v>
      </c>
      <c r="J505" s="165"/>
      <c r="K505" s="165">
        <v>1570.43</v>
      </c>
      <c r="L505" s="165"/>
      <c r="M505" s="165">
        <v>1943.7</v>
      </c>
      <c r="N505" s="165">
        <v>2188</v>
      </c>
      <c r="O505" s="162">
        <v>3706.81</v>
      </c>
      <c r="P505" s="162"/>
      <c r="Q505" s="178"/>
      <c r="R505" s="165"/>
      <c r="S505" s="178"/>
      <c r="T505" s="165"/>
      <c r="U505" s="178"/>
      <c r="V505" s="181">
        <v>0</v>
      </c>
      <c r="W505" s="180">
        <f t="shared" si="63"/>
        <v>0</v>
      </c>
      <c r="X505" s="160"/>
      <c r="Y505" s="160"/>
      <c r="Z505" s="160"/>
      <c r="AA505" s="160"/>
      <c r="AB505" s="160"/>
      <c r="AC505" s="160"/>
      <c r="AD505" s="160"/>
      <c r="AE505" s="160"/>
      <c r="AF505" s="160"/>
      <c r="AG505" s="160"/>
      <c r="AH505" s="160"/>
      <c r="AI505" s="160"/>
      <c r="AJ505" s="160"/>
      <c r="AK505" s="160"/>
      <c r="AL505" s="160"/>
      <c r="AM505" s="160"/>
      <c r="AN505" s="160"/>
      <c r="AO505" s="160"/>
      <c r="AP505" s="160"/>
      <c r="AQ505" s="160"/>
      <c r="AR505" s="160"/>
      <c r="AS505" s="160"/>
      <c r="AT505" s="160"/>
      <c r="AU505" s="160"/>
      <c r="AV505" s="160"/>
      <c r="AW505" s="160"/>
      <c r="AX505" s="160"/>
      <c r="AY505" s="160"/>
      <c r="AZ505" s="160"/>
      <c r="BA505" s="160"/>
      <c r="BB505" s="160"/>
      <c r="BC505" s="160"/>
      <c r="BD505" s="160"/>
      <c r="BE505" s="160"/>
      <c r="BF505" s="160"/>
      <c r="BG505" s="160"/>
      <c r="BH505" s="160"/>
    </row>
    <row r="506" spans="1:60" s="188" customFormat="1" ht="15.75" hidden="1">
      <c r="A506" s="160" t="s">
        <v>985</v>
      </c>
      <c r="B506" s="160" t="s">
        <v>280</v>
      </c>
      <c r="D506" s="165"/>
      <c r="E506" s="165">
        <v>508</v>
      </c>
      <c r="F506" s="165"/>
      <c r="G506" s="165">
        <v>785.79</v>
      </c>
      <c r="H506" s="165"/>
      <c r="I506" s="165">
        <v>631.44000000000005</v>
      </c>
      <c r="J506" s="165"/>
      <c r="K506" s="165">
        <v>908.83</v>
      </c>
      <c r="L506" s="165"/>
      <c r="M506" s="165">
        <v>560.6</v>
      </c>
      <c r="N506" s="165">
        <v>685.62</v>
      </c>
      <c r="O506" s="162">
        <v>2451.38</v>
      </c>
      <c r="P506" s="162"/>
      <c r="Q506" s="178"/>
      <c r="R506" s="165"/>
      <c r="S506" s="178"/>
      <c r="T506" s="165"/>
      <c r="U506" s="178"/>
      <c r="V506" s="181">
        <v>0</v>
      </c>
      <c r="W506" s="180">
        <f t="shared" si="63"/>
        <v>0</v>
      </c>
      <c r="X506" s="160"/>
      <c r="Y506" s="160"/>
      <c r="Z506" s="160"/>
      <c r="AA506" s="160"/>
      <c r="AB506" s="160"/>
      <c r="AC506" s="160"/>
      <c r="AD506" s="160"/>
      <c r="AE506" s="160"/>
      <c r="AF506" s="160"/>
      <c r="AG506" s="160"/>
      <c r="AH506" s="160"/>
      <c r="AI506" s="160"/>
      <c r="AJ506" s="160"/>
      <c r="AK506" s="160"/>
      <c r="AL506" s="160"/>
      <c r="AM506" s="160"/>
      <c r="AN506" s="160"/>
      <c r="AO506" s="160"/>
      <c r="AP506" s="160"/>
      <c r="AQ506" s="160"/>
      <c r="AR506" s="160"/>
      <c r="AS506" s="160"/>
      <c r="AT506" s="160"/>
      <c r="AU506" s="160"/>
      <c r="AV506" s="160"/>
      <c r="AW506" s="160"/>
      <c r="AX506" s="160"/>
      <c r="AY506" s="160"/>
      <c r="AZ506" s="160"/>
      <c r="BA506" s="160"/>
      <c r="BB506" s="160"/>
      <c r="BC506" s="160"/>
      <c r="BD506" s="160"/>
      <c r="BE506" s="160"/>
      <c r="BF506" s="160"/>
      <c r="BG506" s="160"/>
      <c r="BH506" s="160"/>
    </row>
    <row r="507" spans="1:60" s="188" customFormat="1" ht="15.75" hidden="1">
      <c r="A507" s="160" t="s">
        <v>608</v>
      </c>
      <c r="B507" s="160" t="s">
        <v>105</v>
      </c>
      <c r="D507" s="165"/>
      <c r="E507" s="165">
        <v>53</v>
      </c>
      <c r="F507" s="165"/>
      <c r="G507" s="165">
        <v>165.33</v>
      </c>
      <c r="H507" s="165"/>
      <c r="I507" s="165">
        <v>147.25</v>
      </c>
      <c r="J507" s="165"/>
      <c r="K507" s="165">
        <v>190.89</v>
      </c>
      <c r="L507" s="165"/>
      <c r="M507" s="165">
        <v>274.49</v>
      </c>
      <c r="N507" s="165">
        <v>294.95</v>
      </c>
      <c r="O507" s="162">
        <v>0</v>
      </c>
      <c r="P507" s="162"/>
      <c r="Q507" s="178"/>
      <c r="R507" s="165"/>
      <c r="S507" s="178"/>
      <c r="T507" s="165"/>
      <c r="U507" s="178"/>
      <c r="V507" s="181">
        <v>0</v>
      </c>
      <c r="W507" s="180">
        <f t="shared" si="63"/>
        <v>0</v>
      </c>
      <c r="X507" s="160"/>
      <c r="Y507" s="160"/>
      <c r="Z507" s="160"/>
      <c r="AA507" s="160"/>
      <c r="AB507" s="160"/>
      <c r="AC507" s="160"/>
      <c r="AD507" s="160"/>
      <c r="AE507" s="160"/>
      <c r="AF507" s="160"/>
      <c r="AG507" s="160"/>
      <c r="AH507" s="160"/>
      <c r="AI507" s="160"/>
      <c r="AJ507" s="160"/>
      <c r="AK507" s="160"/>
      <c r="AL507" s="160"/>
      <c r="AM507" s="160"/>
      <c r="AN507" s="160"/>
      <c r="AO507" s="160"/>
      <c r="AP507" s="160"/>
      <c r="AQ507" s="160"/>
      <c r="AR507" s="160"/>
      <c r="AS507" s="160"/>
      <c r="AT507" s="160"/>
      <c r="AU507" s="160"/>
      <c r="AV507" s="160"/>
      <c r="AW507" s="160"/>
      <c r="AX507" s="160"/>
      <c r="AY507" s="160"/>
      <c r="AZ507" s="160"/>
      <c r="BA507" s="160"/>
      <c r="BB507" s="160"/>
      <c r="BC507" s="160"/>
      <c r="BD507" s="160"/>
      <c r="BE507" s="160"/>
      <c r="BF507" s="160"/>
      <c r="BG507" s="160"/>
      <c r="BH507" s="160"/>
    </row>
    <row r="508" spans="1:60" s="188" customFormat="1" ht="15.75" hidden="1">
      <c r="A508" s="160" t="s">
        <v>609</v>
      </c>
      <c r="B508" s="160" t="s">
        <v>67</v>
      </c>
      <c r="D508" s="165"/>
      <c r="E508" s="165">
        <v>12</v>
      </c>
      <c r="F508" s="165"/>
      <c r="G508" s="165">
        <v>38.67</v>
      </c>
      <c r="H508" s="165"/>
      <c r="I508" s="165">
        <v>34.43</v>
      </c>
      <c r="J508" s="165"/>
      <c r="K508" s="165">
        <v>44.63</v>
      </c>
      <c r="L508" s="165"/>
      <c r="M508" s="165">
        <v>64.180000000000007</v>
      </c>
      <c r="N508" s="165">
        <v>68.98</v>
      </c>
      <c r="O508" s="162">
        <v>0</v>
      </c>
      <c r="P508" s="162"/>
      <c r="Q508" s="178"/>
      <c r="R508" s="165"/>
      <c r="S508" s="178"/>
      <c r="T508" s="165"/>
      <c r="U508" s="178"/>
      <c r="V508" s="181">
        <v>0</v>
      </c>
      <c r="W508" s="180">
        <f t="shared" si="63"/>
        <v>0</v>
      </c>
      <c r="X508" s="160"/>
      <c r="Y508" s="160"/>
      <c r="Z508" s="160"/>
      <c r="AA508" s="160"/>
      <c r="AB508" s="160"/>
      <c r="AC508" s="160"/>
      <c r="AD508" s="160"/>
      <c r="AE508" s="160"/>
      <c r="AF508" s="160"/>
      <c r="AG508" s="160"/>
      <c r="AH508" s="160"/>
      <c r="AI508" s="160"/>
      <c r="AJ508" s="160"/>
      <c r="AK508" s="160"/>
      <c r="AL508" s="160"/>
      <c r="AM508" s="160"/>
      <c r="AN508" s="160"/>
      <c r="AO508" s="160"/>
      <c r="AP508" s="160"/>
      <c r="AQ508" s="160"/>
      <c r="AR508" s="160"/>
      <c r="AS508" s="160"/>
      <c r="AT508" s="160"/>
      <c r="AU508" s="160"/>
      <c r="AV508" s="160"/>
      <c r="AW508" s="160"/>
      <c r="AX508" s="160"/>
      <c r="AY508" s="160"/>
      <c r="AZ508" s="160"/>
      <c r="BA508" s="160"/>
      <c r="BB508" s="160"/>
      <c r="BC508" s="160"/>
      <c r="BD508" s="160"/>
      <c r="BE508" s="160"/>
      <c r="BF508" s="160"/>
      <c r="BG508" s="160"/>
      <c r="BH508" s="160"/>
    </row>
    <row r="509" spans="1:60" s="188" customFormat="1" ht="15.75" hidden="1">
      <c r="A509" s="160" t="s">
        <v>650</v>
      </c>
      <c r="B509" s="160" t="s">
        <v>458</v>
      </c>
      <c r="D509" s="165"/>
      <c r="E509" s="165">
        <v>234</v>
      </c>
      <c r="F509" s="165"/>
      <c r="G509" s="165">
        <v>808.05</v>
      </c>
      <c r="H509" s="165"/>
      <c r="I509" s="165">
        <v>816.11</v>
      </c>
      <c r="J509" s="165"/>
      <c r="K509" s="165">
        <v>864.72</v>
      </c>
      <c r="L509" s="165"/>
      <c r="M509" s="165">
        <v>1042.1500000000001</v>
      </c>
      <c r="N509" s="165">
        <v>1645.76</v>
      </c>
      <c r="O509" s="162">
        <v>0</v>
      </c>
      <c r="P509" s="162"/>
      <c r="Q509" s="178"/>
      <c r="R509" s="165"/>
      <c r="S509" s="178"/>
      <c r="T509" s="165"/>
      <c r="U509" s="178"/>
      <c r="V509" s="181">
        <v>0</v>
      </c>
      <c r="W509" s="180">
        <f t="shared" si="63"/>
        <v>0</v>
      </c>
      <c r="X509" s="160"/>
      <c r="Y509" s="160"/>
      <c r="Z509" s="160"/>
      <c r="AA509" s="160"/>
      <c r="AB509" s="160"/>
      <c r="AC509" s="160"/>
      <c r="AD509" s="160"/>
      <c r="AE509" s="160"/>
      <c r="AF509" s="160"/>
      <c r="AG509" s="160"/>
      <c r="AH509" s="160"/>
      <c r="AI509" s="160"/>
      <c r="AJ509" s="160"/>
      <c r="AK509" s="160"/>
      <c r="AL509" s="160"/>
      <c r="AM509" s="160"/>
      <c r="AN509" s="160"/>
      <c r="AO509" s="160"/>
      <c r="AP509" s="160"/>
      <c r="AQ509" s="160"/>
      <c r="AR509" s="160"/>
      <c r="AS509" s="160"/>
      <c r="AT509" s="160"/>
      <c r="AU509" s="160"/>
      <c r="AV509" s="160"/>
      <c r="AW509" s="160"/>
      <c r="AX509" s="160"/>
      <c r="AY509" s="160"/>
      <c r="AZ509" s="160"/>
      <c r="BA509" s="160"/>
      <c r="BB509" s="160"/>
      <c r="BC509" s="160"/>
      <c r="BD509" s="160"/>
      <c r="BE509" s="160"/>
      <c r="BF509" s="160"/>
      <c r="BG509" s="160"/>
      <c r="BH509" s="160"/>
    </row>
    <row r="510" spans="1:60" s="188" customFormat="1" ht="15.75" hidden="1">
      <c r="A510" s="160" t="s">
        <v>613</v>
      </c>
      <c r="B510" s="160" t="s">
        <v>69</v>
      </c>
      <c r="D510" s="165"/>
      <c r="E510" s="165">
        <v>19</v>
      </c>
      <c r="F510" s="165"/>
      <c r="G510" s="165">
        <v>20.149999999999999</v>
      </c>
      <c r="H510" s="165"/>
      <c r="I510" s="165">
        <v>11.95</v>
      </c>
      <c r="J510" s="165"/>
      <c r="K510" s="165">
        <v>18.14</v>
      </c>
      <c r="L510" s="165"/>
      <c r="M510" s="165">
        <v>58.77</v>
      </c>
      <c r="N510" s="165">
        <v>25.15</v>
      </c>
      <c r="O510" s="162">
        <v>0</v>
      </c>
      <c r="P510" s="162"/>
      <c r="Q510" s="178"/>
      <c r="R510" s="165"/>
      <c r="S510" s="178"/>
      <c r="T510" s="165"/>
      <c r="U510" s="178"/>
      <c r="V510" s="181">
        <v>0</v>
      </c>
      <c r="W510" s="180">
        <f t="shared" si="63"/>
        <v>0</v>
      </c>
      <c r="X510" s="160"/>
      <c r="Y510" s="160"/>
      <c r="Z510" s="160"/>
      <c r="AA510" s="160"/>
      <c r="AB510" s="160"/>
      <c r="AC510" s="160"/>
      <c r="AD510" s="160"/>
      <c r="AE510" s="160"/>
      <c r="AF510" s="160"/>
      <c r="AG510" s="160"/>
      <c r="AH510" s="160"/>
      <c r="AI510" s="160"/>
      <c r="AJ510" s="160"/>
      <c r="AK510" s="160"/>
      <c r="AL510" s="160"/>
      <c r="AM510" s="160"/>
      <c r="AN510" s="160"/>
      <c r="AO510" s="160"/>
      <c r="AP510" s="160"/>
      <c r="AQ510" s="160"/>
      <c r="AR510" s="160"/>
      <c r="AS510" s="160"/>
      <c r="AT510" s="160"/>
      <c r="AU510" s="160"/>
      <c r="AV510" s="160"/>
      <c r="AW510" s="160"/>
      <c r="AX510" s="160"/>
      <c r="AY510" s="160"/>
      <c r="AZ510" s="160"/>
      <c r="BA510" s="160"/>
      <c r="BB510" s="160"/>
      <c r="BC510" s="160"/>
      <c r="BD510" s="160"/>
      <c r="BE510" s="160"/>
      <c r="BF510" s="160"/>
      <c r="BG510" s="160"/>
      <c r="BH510" s="160"/>
    </row>
    <row r="511" spans="1:60" s="188" customFormat="1" ht="15.75" hidden="1">
      <c r="A511" s="160" t="s">
        <v>610</v>
      </c>
      <c r="B511" s="160" t="s">
        <v>70</v>
      </c>
      <c r="D511" s="165"/>
      <c r="E511" s="165">
        <v>96</v>
      </c>
      <c r="F511" s="165"/>
      <c r="G511" s="165">
        <v>97.24</v>
      </c>
      <c r="H511" s="165"/>
      <c r="I511" s="165">
        <v>77.64</v>
      </c>
      <c r="J511" s="165"/>
      <c r="K511" s="165">
        <v>101.62</v>
      </c>
      <c r="L511" s="165"/>
      <c r="M511" s="165">
        <v>77.260000000000005</v>
      </c>
      <c r="N511" s="165">
        <v>57.89</v>
      </c>
      <c r="O511" s="162">
        <v>0</v>
      </c>
      <c r="P511" s="162"/>
      <c r="Q511" s="178"/>
      <c r="R511" s="165"/>
      <c r="S511" s="178"/>
      <c r="T511" s="165"/>
      <c r="U511" s="178"/>
      <c r="V511" s="181">
        <v>0</v>
      </c>
      <c r="W511" s="180">
        <f t="shared" si="63"/>
        <v>0</v>
      </c>
      <c r="X511" s="160"/>
      <c r="Y511" s="160"/>
      <c r="Z511" s="160"/>
      <c r="AA511" s="160"/>
      <c r="AB511" s="160"/>
      <c r="AC511" s="160"/>
      <c r="AD511" s="160"/>
      <c r="AE511" s="160"/>
      <c r="AF511" s="160"/>
      <c r="AG511" s="160"/>
      <c r="AH511" s="160"/>
      <c r="AI511" s="160"/>
      <c r="AJ511" s="160"/>
      <c r="AK511" s="160"/>
      <c r="AL511" s="160"/>
      <c r="AM511" s="160"/>
      <c r="AN511" s="160"/>
      <c r="AO511" s="160"/>
      <c r="AP511" s="160"/>
      <c r="AQ511" s="160"/>
      <c r="AR511" s="160"/>
      <c r="AS511" s="160"/>
      <c r="AT511" s="160"/>
      <c r="AU511" s="160"/>
      <c r="AV511" s="160"/>
      <c r="AW511" s="160"/>
      <c r="AX511" s="160"/>
      <c r="AY511" s="160"/>
      <c r="AZ511" s="160"/>
      <c r="BA511" s="160"/>
      <c r="BB511" s="160"/>
      <c r="BC511" s="160"/>
      <c r="BD511" s="160"/>
      <c r="BE511" s="160"/>
      <c r="BF511" s="160"/>
      <c r="BG511" s="160"/>
      <c r="BH511" s="160"/>
    </row>
    <row r="512" spans="1:60" s="188" customFormat="1" ht="15.75" hidden="1">
      <c r="A512" s="160" t="s">
        <v>611</v>
      </c>
      <c r="B512" s="160" t="s">
        <v>612</v>
      </c>
      <c r="D512" s="165"/>
      <c r="E512" s="165">
        <v>65</v>
      </c>
      <c r="F512" s="165"/>
      <c r="G512" s="165">
        <v>13.41</v>
      </c>
      <c r="H512" s="165"/>
      <c r="I512" s="165">
        <v>11.95</v>
      </c>
      <c r="J512" s="165"/>
      <c r="K512" s="165">
        <v>107.19</v>
      </c>
      <c r="L512" s="165"/>
      <c r="M512" s="165">
        <v>114.3</v>
      </c>
      <c r="N512" s="165">
        <v>122.08</v>
      </c>
      <c r="O512" s="162">
        <v>0</v>
      </c>
      <c r="P512" s="162"/>
      <c r="Q512" s="178"/>
      <c r="R512" s="165"/>
      <c r="S512" s="178"/>
      <c r="T512" s="165"/>
      <c r="U512" s="178"/>
      <c r="V512" s="181">
        <v>0</v>
      </c>
      <c r="W512" s="180">
        <f t="shared" si="63"/>
        <v>0</v>
      </c>
      <c r="X512" s="160"/>
      <c r="Y512" s="160"/>
      <c r="Z512" s="160"/>
      <c r="AA512" s="160"/>
      <c r="AB512" s="160"/>
      <c r="AC512" s="160"/>
      <c r="AD512" s="160"/>
      <c r="AE512" s="160"/>
      <c r="AF512" s="160"/>
      <c r="AG512" s="160"/>
      <c r="AH512" s="160"/>
      <c r="AI512" s="160"/>
      <c r="AJ512" s="160"/>
      <c r="AK512" s="160"/>
      <c r="AL512" s="160"/>
      <c r="AM512" s="160"/>
      <c r="AN512" s="160"/>
      <c r="AO512" s="160"/>
      <c r="AP512" s="160"/>
      <c r="AQ512" s="160"/>
      <c r="AR512" s="160"/>
      <c r="AS512" s="160"/>
      <c r="AT512" s="160"/>
      <c r="AU512" s="160"/>
      <c r="AV512" s="160"/>
      <c r="AW512" s="160"/>
      <c r="AX512" s="160"/>
      <c r="AY512" s="160"/>
      <c r="AZ512" s="160"/>
      <c r="BA512" s="160"/>
      <c r="BB512" s="160"/>
      <c r="BC512" s="160"/>
      <c r="BD512" s="160"/>
      <c r="BE512" s="160"/>
      <c r="BF512" s="160"/>
      <c r="BG512" s="160"/>
      <c r="BH512" s="160"/>
    </row>
    <row r="513" spans="1:60" s="188" customFormat="1" ht="15.75" hidden="1">
      <c r="A513" s="160" t="s">
        <v>651</v>
      </c>
      <c r="B513" s="160" t="s">
        <v>392</v>
      </c>
      <c r="D513" s="165"/>
      <c r="E513" s="165">
        <v>11</v>
      </c>
      <c r="F513" s="165"/>
      <c r="G513" s="165">
        <v>40.85</v>
      </c>
      <c r="H513" s="165"/>
      <c r="I513" s="165">
        <v>42.04</v>
      </c>
      <c r="J513" s="165"/>
      <c r="K513" s="165">
        <v>42.03</v>
      </c>
      <c r="L513" s="165"/>
      <c r="M513" s="165">
        <v>60.6</v>
      </c>
      <c r="N513" s="165">
        <v>29.73</v>
      </c>
      <c r="O513" s="162">
        <v>0</v>
      </c>
      <c r="P513" s="162"/>
      <c r="Q513" s="178"/>
      <c r="R513" s="165"/>
      <c r="S513" s="178"/>
      <c r="T513" s="165"/>
      <c r="U513" s="178"/>
      <c r="V513" s="181">
        <v>0</v>
      </c>
      <c r="W513" s="180">
        <f t="shared" si="63"/>
        <v>0</v>
      </c>
      <c r="X513" s="160"/>
      <c r="Y513" s="160"/>
      <c r="Z513" s="160"/>
      <c r="AA513" s="160"/>
      <c r="AB513" s="160"/>
      <c r="AC513" s="160"/>
      <c r="AD513" s="160"/>
      <c r="AE513" s="160"/>
      <c r="AF513" s="160"/>
      <c r="AG513" s="160"/>
      <c r="AH513" s="160"/>
      <c r="AI513" s="160"/>
      <c r="AJ513" s="160"/>
      <c r="AK513" s="160"/>
      <c r="AL513" s="160"/>
      <c r="AM513" s="160"/>
      <c r="AN513" s="160"/>
      <c r="AO513" s="160"/>
      <c r="AP513" s="160"/>
      <c r="AQ513" s="160"/>
      <c r="AR513" s="160"/>
      <c r="AS513" s="160"/>
      <c r="AT513" s="160"/>
      <c r="AU513" s="160"/>
      <c r="AV513" s="160"/>
      <c r="AW513" s="160"/>
      <c r="AX513" s="160"/>
      <c r="AY513" s="160"/>
      <c r="AZ513" s="160"/>
      <c r="BA513" s="160"/>
      <c r="BB513" s="160"/>
      <c r="BC513" s="160"/>
      <c r="BD513" s="160"/>
      <c r="BE513" s="160"/>
      <c r="BF513" s="160"/>
      <c r="BG513" s="160"/>
      <c r="BH513" s="160"/>
    </row>
    <row r="514" spans="1:60" s="188" customFormat="1" ht="15.75">
      <c r="A514" s="160" t="s">
        <v>577</v>
      </c>
      <c r="B514" s="160" t="s">
        <v>432</v>
      </c>
      <c r="D514" s="165"/>
      <c r="E514" s="165">
        <v>389</v>
      </c>
      <c r="F514" s="165"/>
      <c r="G514" s="165">
        <v>1110.32</v>
      </c>
      <c r="H514" s="165"/>
      <c r="I514" s="165">
        <v>1583.22</v>
      </c>
      <c r="J514" s="165"/>
      <c r="K514" s="165">
        <v>536.55999999999995</v>
      </c>
      <c r="L514" s="165"/>
      <c r="M514" s="165">
        <v>1269.6600000000001</v>
      </c>
      <c r="N514" s="165">
        <v>245.02</v>
      </c>
      <c r="O514" s="162">
        <v>525.12</v>
      </c>
      <c r="P514" s="162">
        <v>2965.64</v>
      </c>
      <c r="Q514" s="165">
        <v>2500</v>
      </c>
      <c r="R514" s="165"/>
      <c r="S514" s="165">
        <v>2500</v>
      </c>
      <c r="T514" s="165"/>
      <c r="U514" s="165">
        <v>2500</v>
      </c>
      <c r="V514" s="181">
        <f>(U514-Q514)/Q514</f>
        <v>0</v>
      </c>
      <c r="W514" s="180">
        <f t="shared" si="63"/>
        <v>0</v>
      </c>
      <c r="X514" s="160"/>
      <c r="Z514" s="160"/>
    </row>
    <row r="515" spans="1:60" s="188" customFormat="1" ht="15.75" hidden="1">
      <c r="A515" s="160" t="s">
        <v>578</v>
      </c>
      <c r="B515" s="160" t="s">
        <v>424</v>
      </c>
      <c r="D515" s="165"/>
      <c r="E515" s="165">
        <v>355</v>
      </c>
      <c r="F515" s="165"/>
      <c r="G515" s="165">
        <v>224.5</v>
      </c>
      <c r="H515" s="165"/>
      <c r="I515" s="165">
        <v>158</v>
      </c>
      <c r="J515" s="165"/>
      <c r="K515" s="165">
        <v>0</v>
      </c>
      <c r="L515" s="165"/>
      <c r="M515" s="165">
        <v>0</v>
      </c>
      <c r="N515" s="165"/>
      <c r="O515" s="162"/>
      <c r="P515" s="162"/>
      <c r="Q515" s="165"/>
      <c r="R515" s="165"/>
      <c r="S515" s="165"/>
      <c r="T515" s="165"/>
      <c r="U515" s="165"/>
      <c r="V515" s="181" t="e">
        <f>(U515-Q515)/Q515</f>
        <v>#DIV/0!</v>
      </c>
      <c r="W515" s="180">
        <f t="shared" si="63"/>
        <v>0</v>
      </c>
      <c r="X515" s="160"/>
    </row>
    <row r="516" spans="1:60" s="188" customFormat="1" ht="15.75">
      <c r="A516" s="161" t="s">
        <v>240</v>
      </c>
      <c r="B516" s="160" t="s">
        <v>387</v>
      </c>
      <c r="D516" s="193"/>
      <c r="E516" s="165">
        <v>54</v>
      </c>
      <c r="F516" s="193"/>
      <c r="G516" s="165">
        <v>106.5</v>
      </c>
      <c r="H516" s="193"/>
      <c r="I516" s="165">
        <v>563.04</v>
      </c>
      <c r="J516" s="193"/>
      <c r="K516" s="165">
        <v>25.19</v>
      </c>
      <c r="L516" s="193"/>
      <c r="M516" s="165">
        <v>43.67</v>
      </c>
      <c r="N516" s="165">
        <v>0</v>
      </c>
      <c r="O516" s="162">
        <v>4979.4799999999996</v>
      </c>
      <c r="P516" s="162">
        <v>89.97</v>
      </c>
      <c r="Q516" s="165">
        <v>500</v>
      </c>
      <c r="R516" s="165"/>
      <c r="S516" s="165">
        <v>500</v>
      </c>
      <c r="T516" s="193"/>
      <c r="U516" s="165">
        <f>500+1350</f>
        <v>1850</v>
      </c>
      <c r="V516" s="181">
        <f>(U516-Q516)/Q516</f>
        <v>2.7</v>
      </c>
      <c r="W516" s="180">
        <f t="shared" si="63"/>
        <v>0</v>
      </c>
      <c r="X516" s="160"/>
    </row>
    <row r="517" spans="1:60" s="188" customFormat="1" ht="15.75">
      <c r="A517" s="160" t="s">
        <v>579</v>
      </c>
      <c r="B517" s="160" t="s">
        <v>1218</v>
      </c>
      <c r="D517" s="260"/>
      <c r="E517" s="165">
        <v>2693</v>
      </c>
      <c r="F517" s="260"/>
      <c r="G517" s="165">
        <v>1246.05</v>
      </c>
      <c r="H517" s="260"/>
      <c r="I517" s="165">
        <v>1144.45</v>
      </c>
      <c r="J517" s="260"/>
      <c r="K517" s="165">
        <v>251.19</v>
      </c>
      <c r="L517" s="260"/>
      <c r="M517" s="165">
        <v>100.51</v>
      </c>
      <c r="N517" s="165">
        <v>109.78</v>
      </c>
      <c r="O517" s="162">
        <v>71.41</v>
      </c>
      <c r="P517" s="162">
        <v>646.99</v>
      </c>
      <c r="Q517" s="165">
        <v>2000</v>
      </c>
      <c r="R517" s="165"/>
      <c r="S517" s="165">
        <v>2000</v>
      </c>
      <c r="T517" s="260"/>
      <c r="U517" s="165">
        <f>2000+5229</f>
        <v>7229</v>
      </c>
      <c r="V517" s="181">
        <f>(U517-Q517)/Q517</f>
        <v>2.6145</v>
      </c>
      <c r="W517" s="180">
        <f t="shared" si="63"/>
        <v>0</v>
      </c>
      <c r="X517" s="160"/>
    </row>
    <row r="518" spans="1:60" ht="15.75" hidden="1">
      <c r="A518" s="160" t="s">
        <v>580</v>
      </c>
      <c r="B518" s="160" t="s">
        <v>388</v>
      </c>
      <c r="C518" s="160"/>
      <c r="D518" s="165"/>
      <c r="E518" s="165">
        <v>710</v>
      </c>
      <c r="F518" s="165"/>
      <c r="G518" s="165">
        <v>1268</v>
      </c>
      <c r="H518" s="165"/>
      <c r="I518" s="165">
        <v>1268</v>
      </c>
      <c r="J518" s="165"/>
      <c r="K518" s="165">
        <v>0</v>
      </c>
      <c r="L518" s="165"/>
      <c r="M518" s="165">
        <v>0</v>
      </c>
      <c r="N518" s="165"/>
      <c r="O518" s="162">
        <v>0</v>
      </c>
      <c r="P518" s="162"/>
      <c r="R518" s="165"/>
      <c r="T518" s="165"/>
      <c r="V518" s="181">
        <v>0</v>
      </c>
      <c r="W518" s="180">
        <f t="shared" si="63"/>
        <v>0</v>
      </c>
      <c r="Z518" s="188"/>
    </row>
    <row r="519" spans="1:60" ht="15.75" hidden="1">
      <c r="A519" s="160" t="s">
        <v>652</v>
      </c>
      <c r="B519" s="160" t="s">
        <v>389</v>
      </c>
      <c r="C519" s="160"/>
      <c r="D519" s="165"/>
      <c r="E519" s="165">
        <v>889</v>
      </c>
      <c r="F519" s="165"/>
      <c r="G519" s="165">
        <v>974.6</v>
      </c>
      <c r="H519" s="165"/>
      <c r="I519" s="165">
        <v>1199.79</v>
      </c>
      <c r="J519" s="165"/>
      <c r="K519" s="165">
        <v>0</v>
      </c>
      <c r="L519" s="165"/>
      <c r="M519" s="165">
        <v>0</v>
      </c>
      <c r="N519" s="165">
        <v>0</v>
      </c>
      <c r="O519" s="162">
        <v>384.68</v>
      </c>
      <c r="P519" s="162"/>
      <c r="R519" s="165"/>
      <c r="T519" s="165"/>
      <c r="V519" s="181">
        <v>0</v>
      </c>
      <c r="W519" s="180">
        <f t="shared" si="63"/>
        <v>0</v>
      </c>
      <c r="Z519" s="188"/>
    </row>
    <row r="520" spans="1:60" ht="15.75" hidden="1">
      <c r="A520" s="160" t="s">
        <v>785</v>
      </c>
      <c r="B520" s="160" t="s">
        <v>606</v>
      </c>
      <c r="C520" s="160"/>
      <c r="D520" s="165"/>
      <c r="E520" s="165"/>
      <c r="F520" s="165"/>
      <c r="G520" s="165">
        <v>0</v>
      </c>
      <c r="H520" s="165"/>
      <c r="I520" s="165">
        <v>25000</v>
      </c>
      <c r="J520" s="165"/>
      <c r="K520" s="165">
        <v>0</v>
      </c>
      <c r="L520" s="165"/>
      <c r="M520" s="165">
        <v>0</v>
      </c>
      <c r="N520" s="165"/>
      <c r="O520" s="162">
        <v>0</v>
      </c>
      <c r="P520" s="162"/>
      <c r="R520" s="165"/>
      <c r="T520" s="165"/>
      <c r="V520" s="181">
        <v>0</v>
      </c>
      <c r="W520" s="180">
        <f t="shared" si="63"/>
        <v>0</v>
      </c>
      <c r="Z520" s="188"/>
    </row>
    <row r="521" spans="1:60" s="188" customFormat="1" ht="15.75" hidden="1">
      <c r="A521" s="161" t="s">
        <v>653</v>
      </c>
      <c r="B521" s="160" t="s">
        <v>797</v>
      </c>
      <c r="D521" s="165"/>
      <c r="E521" s="165">
        <v>172</v>
      </c>
      <c r="F521" s="165"/>
      <c r="G521" s="165">
        <v>1282.82</v>
      </c>
      <c r="H521" s="165"/>
      <c r="I521" s="165">
        <v>729.28</v>
      </c>
      <c r="J521" s="165"/>
      <c r="K521" s="165">
        <v>138.74</v>
      </c>
      <c r="L521" s="165"/>
      <c r="M521" s="165">
        <v>138.74</v>
      </c>
      <c r="N521" s="165">
        <v>138.74</v>
      </c>
      <c r="O521" s="162">
        <v>0</v>
      </c>
      <c r="P521" s="162"/>
      <c r="Q521" s="165"/>
      <c r="R521" s="165"/>
      <c r="S521" s="165"/>
      <c r="T521" s="165"/>
      <c r="U521" s="165"/>
      <c r="V521" s="181">
        <v>0</v>
      </c>
      <c r="W521" s="180">
        <f t="shared" si="63"/>
        <v>0</v>
      </c>
      <c r="X521" s="160"/>
    </row>
    <row r="522" spans="1:60" s="188" customFormat="1" ht="15.75" hidden="1">
      <c r="A522" s="161" t="s">
        <v>813</v>
      </c>
      <c r="B522" s="160" t="s">
        <v>462</v>
      </c>
      <c r="D522" s="165"/>
      <c r="E522" s="165">
        <v>172</v>
      </c>
      <c r="F522" s="165"/>
      <c r="G522" s="165">
        <v>0</v>
      </c>
      <c r="H522" s="165"/>
      <c r="I522" s="165">
        <v>1469</v>
      </c>
      <c r="J522" s="165"/>
      <c r="K522" s="165">
        <v>1988</v>
      </c>
      <c r="L522" s="165"/>
      <c r="M522" s="165">
        <v>0</v>
      </c>
      <c r="N522" s="165">
        <v>0</v>
      </c>
      <c r="O522" s="162">
        <v>0</v>
      </c>
      <c r="P522" s="162"/>
      <c r="Q522" s="165"/>
      <c r="R522" s="165"/>
      <c r="S522" s="165"/>
      <c r="T522" s="165"/>
      <c r="U522" s="165"/>
      <c r="V522" s="181">
        <v>0</v>
      </c>
      <c r="W522" s="180">
        <f t="shared" si="63"/>
        <v>0</v>
      </c>
      <c r="X522" s="160"/>
    </row>
    <row r="523" spans="1:60" ht="15.75">
      <c r="B523" s="172" t="s">
        <v>470</v>
      </c>
      <c r="C523" s="177"/>
      <c r="D523" s="332"/>
      <c r="E523" s="287">
        <f>SUM(E505:E522)</f>
        <v>8057</v>
      </c>
      <c r="F523" s="332"/>
      <c r="G523" s="287">
        <f>SUM(G505:G522)</f>
        <v>10080.849999999999</v>
      </c>
      <c r="H523" s="332"/>
      <c r="I523" s="287">
        <f>SUM(I505:I522)</f>
        <v>36648.369999999995</v>
      </c>
      <c r="J523" s="332"/>
      <c r="K523" s="287">
        <f>SUM(K505:K522)</f>
        <v>6788.1599999999989</v>
      </c>
      <c r="L523" s="332"/>
      <c r="M523" s="287">
        <f t="shared" ref="M523:U523" si="67">SUM(M505:M522)</f>
        <v>5748.63</v>
      </c>
      <c r="N523" s="287">
        <f t="shared" si="67"/>
        <v>5611.6999999999989</v>
      </c>
      <c r="O523" s="285">
        <f t="shared" si="67"/>
        <v>12118.880000000001</v>
      </c>
      <c r="P523" s="333">
        <f t="shared" si="67"/>
        <v>3702.5999999999995</v>
      </c>
      <c r="Q523" s="333">
        <f t="shared" si="67"/>
        <v>5000</v>
      </c>
      <c r="R523" s="242">
        <f t="shared" si="67"/>
        <v>0</v>
      </c>
      <c r="S523" s="242">
        <f t="shared" si="67"/>
        <v>5000</v>
      </c>
      <c r="T523" s="242">
        <f t="shared" si="67"/>
        <v>0</v>
      </c>
      <c r="U523" s="242">
        <f t="shared" si="67"/>
        <v>11579</v>
      </c>
      <c r="V523" s="384">
        <f>(U523-Q523)/Q523</f>
        <v>1.3158000000000001</v>
      </c>
      <c r="W523" s="192">
        <f t="shared" si="63"/>
        <v>0</v>
      </c>
    </row>
    <row r="524" spans="1:60" ht="15.75">
      <c r="B524" s="172"/>
      <c r="C524" s="177"/>
      <c r="D524" s="165"/>
      <c r="E524" s="193"/>
      <c r="F524" s="165"/>
      <c r="G524" s="193"/>
      <c r="H524" s="165"/>
      <c r="I524" s="193"/>
      <c r="J524" s="165"/>
      <c r="K524" s="193"/>
      <c r="L524" s="165"/>
      <c r="M524" s="193"/>
      <c r="N524" s="193"/>
      <c r="O524" s="292"/>
      <c r="P524" s="292"/>
      <c r="Q524" s="193"/>
      <c r="R524" s="193"/>
      <c r="S524" s="193"/>
      <c r="T524" s="165"/>
      <c r="U524" s="193"/>
      <c r="W524" s="180"/>
    </row>
    <row r="525" spans="1:60" ht="15.75">
      <c r="A525" s="423" t="s">
        <v>485</v>
      </c>
      <c r="B525" s="423"/>
      <c r="C525" s="423"/>
      <c r="D525" s="165"/>
      <c r="E525" s="165"/>
      <c r="F525" s="165"/>
      <c r="G525" s="165"/>
      <c r="H525" s="165"/>
      <c r="I525" s="165"/>
      <c r="J525" s="165"/>
      <c r="K525" s="165"/>
      <c r="L525" s="165"/>
      <c r="M525" s="165"/>
      <c r="N525" s="165"/>
      <c r="O525" s="162"/>
      <c r="P525" s="162"/>
      <c r="R525" s="253"/>
      <c r="T525" s="165"/>
      <c r="W525" s="180"/>
    </row>
    <row r="526" spans="1:60" ht="15.75">
      <c r="A526" s="160" t="s">
        <v>1219</v>
      </c>
      <c r="B526" s="160" t="s">
        <v>1262</v>
      </c>
      <c r="C526" s="188"/>
      <c r="D526" s="165"/>
      <c r="E526" s="165">
        <v>458</v>
      </c>
      <c r="F526" s="165"/>
      <c r="G526" s="165">
        <v>1223.24</v>
      </c>
      <c r="H526" s="165"/>
      <c r="I526" s="165">
        <v>1575.94</v>
      </c>
      <c r="J526" s="165"/>
      <c r="K526" s="165">
        <v>1759.32</v>
      </c>
      <c r="L526" s="165"/>
      <c r="M526" s="165">
        <v>81.45</v>
      </c>
      <c r="N526" s="165">
        <v>243.08</v>
      </c>
      <c r="O526" s="162">
        <v>398.8</v>
      </c>
      <c r="P526" s="162">
        <v>5622.3</v>
      </c>
      <c r="Q526" s="165">
        <v>5737</v>
      </c>
      <c r="R526" s="165"/>
      <c r="S526" s="165">
        <v>5737</v>
      </c>
      <c r="T526" s="165"/>
      <c r="U526" s="165">
        <v>5966</v>
      </c>
      <c r="V526" s="181">
        <f>(U526-Q526)/Q526</f>
        <v>3.9916332578002443E-2</v>
      </c>
      <c r="W526" s="180">
        <f>S526-Q526</f>
        <v>0</v>
      </c>
    </row>
    <row r="527" spans="1:60" ht="15.75">
      <c r="A527" s="161" t="s">
        <v>1263</v>
      </c>
      <c r="B527" s="160" t="s">
        <v>105</v>
      </c>
      <c r="C527" s="188"/>
      <c r="D527" s="165"/>
      <c r="E527" s="165">
        <v>4013</v>
      </c>
      <c r="F527" s="165"/>
      <c r="G527" s="165">
        <v>4050.27</v>
      </c>
      <c r="H527" s="165"/>
      <c r="I527" s="165">
        <v>4489.96</v>
      </c>
      <c r="J527" s="165"/>
      <c r="K527" s="165">
        <v>4570.3500000000004</v>
      </c>
      <c r="L527" s="165"/>
      <c r="M527" s="165">
        <v>4759.34</v>
      </c>
      <c r="N527" s="165">
        <v>4398.43</v>
      </c>
      <c r="O527" s="162">
        <v>4851.6499999999996</v>
      </c>
      <c r="P527" s="162">
        <v>348.5</v>
      </c>
      <c r="Q527" s="178">
        <v>356</v>
      </c>
      <c r="R527" s="165"/>
      <c r="S527" s="178">
        <v>356</v>
      </c>
      <c r="T527" s="165"/>
      <c r="U527" s="178">
        <v>370</v>
      </c>
      <c r="V527" s="181">
        <f t="shared" ref="V527:V541" si="68">(U527-Q527)/Q527</f>
        <v>3.9325842696629212E-2</v>
      </c>
      <c r="W527" s="180"/>
    </row>
    <row r="528" spans="1:60" ht="15.75">
      <c r="A528" s="161" t="s">
        <v>1264</v>
      </c>
      <c r="B528" s="160" t="s">
        <v>67</v>
      </c>
      <c r="C528" s="188"/>
      <c r="D528" s="165"/>
      <c r="E528" s="165">
        <v>939</v>
      </c>
      <c r="F528" s="165"/>
      <c r="G528" s="165">
        <v>947.22</v>
      </c>
      <c r="H528" s="165"/>
      <c r="I528" s="165">
        <v>1050.07</v>
      </c>
      <c r="J528" s="165"/>
      <c r="K528" s="165">
        <v>1068.8900000000001</v>
      </c>
      <c r="L528" s="165"/>
      <c r="M528" s="165">
        <v>1113.0899999999999</v>
      </c>
      <c r="N528" s="165">
        <v>1028.67</v>
      </c>
      <c r="O528" s="162">
        <v>1134.6199999999999</v>
      </c>
      <c r="P528" s="162">
        <v>81.62</v>
      </c>
      <c r="Q528" s="178">
        <v>83</v>
      </c>
      <c r="R528" s="165"/>
      <c r="S528" s="178">
        <v>83</v>
      </c>
      <c r="T528" s="165"/>
      <c r="U528" s="178">
        <v>87</v>
      </c>
      <c r="V528" s="181">
        <f t="shared" si="68"/>
        <v>4.8192771084337352E-2</v>
      </c>
      <c r="W528" s="180"/>
    </row>
    <row r="529" spans="1:26" ht="15.75">
      <c r="A529" s="161" t="s">
        <v>1265</v>
      </c>
      <c r="B529" s="160" t="s">
        <v>69</v>
      </c>
      <c r="C529" s="188"/>
      <c r="D529" s="165"/>
      <c r="E529" s="165">
        <v>621</v>
      </c>
      <c r="F529" s="165"/>
      <c r="G529" s="165">
        <v>523.80999999999995</v>
      </c>
      <c r="H529" s="165"/>
      <c r="I529" s="165">
        <v>385.53</v>
      </c>
      <c r="J529" s="165"/>
      <c r="K529" s="165">
        <v>233.95</v>
      </c>
      <c r="L529" s="165"/>
      <c r="M529" s="165">
        <v>907.22</v>
      </c>
      <c r="N529" s="165">
        <v>14.02</v>
      </c>
      <c r="O529" s="162">
        <v>437.89</v>
      </c>
      <c r="P529" s="162">
        <v>16.95</v>
      </c>
      <c r="Q529" s="178">
        <v>161</v>
      </c>
      <c r="R529" s="165"/>
      <c r="S529" s="178">
        <v>10</v>
      </c>
      <c r="T529" s="165"/>
      <c r="U529" s="178">
        <v>90</v>
      </c>
      <c r="V529" s="181">
        <f t="shared" si="68"/>
        <v>-0.44099378881987578</v>
      </c>
      <c r="W529" s="180"/>
    </row>
    <row r="530" spans="1:26" ht="15.75">
      <c r="A530" s="161" t="s">
        <v>1266</v>
      </c>
      <c r="B530" s="160" t="s">
        <v>70</v>
      </c>
      <c r="C530" s="188"/>
      <c r="D530" s="165"/>
      <c r="E530" s="165">
        <v>3386</v>
      </c>
      <c r="F530" s="165"/>
      <c r="G530" s="165">
        <v>2570.84</v>
      </c>
      <c r="H530" s="165"/>
      <c r="I530" s="165">
        <v>2498.77</v>
      </c>
      <c r="J530" s="165"/>
      <c r="K530" s="165">
        <v>2582.61</v>
      </c>
      <c r="L530" s="165"/>
      <c r="M530" s="165">
        <v>-1237.05</v>
      </c>
      <c r="N530" s="165">
        <v>949.09</v>
      </c>
      <c r="O530" s="162">
        <v>962.17</v>
      </c>
      <c r="P530" s="162">
        <v>416.44</v>
      </c>
      <c r="Q530" s="178">
        <v>424</v>
      </c>
      <c r="R530" s="165"/>
      <c r="S530" s="178">
        <v>424</v>
      </c>
      <c r="T530" s="165"/>
      <c r="U530" s="178">
        <v>418</v>
      </c>
      <c r="V530" s="181">
        <f t="shared" si="68"/>
        <v>-1.4150943396226415E-2</v>
      </c>
      <c r="W530" s="180"/>
    </row>
    <row r="531" spans="1:26" ht="15.75">
      <c r="A531" s="161" t="s">
        <v>1267</v>
      </c>
      <c r="B531" s="160" t="s">
        <v>106</v>
      </c>
      <c r="C531" s="188"/>
      <c r="D531" s="253"/>
      <c r="E531" s="165">
        <v>1489</v>
      </c>
      <c r="F531" s="253"/>
      <c r="G531" s="165">
        <v>-1534.35</v>
      </c>
      <c r="H531" s="253"/>
      <c r="I531" s="165">
        <v>355.07</v>
      </c>
      <c r="J531" s="253"/>
      <c r="K531" s="165">
        <v>332.08</v>
      </c>
      <c r="L531" s="253"/>
      <c r="M531" s="165">
        <v>306.41000000000003</v>
      </c>
      <c r="N531" s="165">
        <v>312.14</v>
      </c>
      <c r="O531" s="162">
        <v>208.27</v>
      </c>
      <c r="P531" s="162">
        <v>175.86</v>
      </c>
      <c r="Q531" s="178">
        <v>174</v>
      </c>
      <c r="R531" s="165"/>
      <c r="S531" s="178">
        <v>406</v>
      </c>
      <c r="T531" s="253"/>
      <c r="U531" s="178">
        <v>183</v>
      </c>
      <c r="V531" s="181">
        <f t="shared" si="68"/>
        <v>5.1724137931034482E-2</v>
      </c>
      <c r="W531" s="180"/>
    </row>
    <row r="532" spans="1:26" ht="15.75">
      <c r="A532" s="160" t="s">
        <v>581</v>
      </c>
      <c r="B532" s="160" t="s">
        <v>369</v>
      </c>
      <c r="C532" s="188"/>
      <c r="D532" s="165"/>
      <c r="E532" s="165">
        <v>458</v>
      </c>
      <c r="F532" s="165"/>
      <c r="G532" s="165">
        <v>1223.24</v>
      </c>
      <c r="H532" s="165"/>
      <c r="I532" s="165">
        <v>1575.94</v>
      </c>
      <c r="J532" s="165"/>
      <c r="K532" s="165">
        <v>1759.32</v>
      </c>
      <c r="L532" s="165"/>
      <c r="M532" s="165">
        <v>81.45</v>
      </c>
      <c r="N532" s="165">
        <v>243.08</v>
      </c>
      <c r="O532" s="162">
        <v>398.8</v>
      </c>
      <c r="P532" s="162">
        <v>5055.62</v>
      </c>
      <c r="Q532" s="165">
        <v>5000</v>
      </c>
      <c r="R532" s="165"/>
      <c r="S532" s="165">
        <v>5000</v>
      </c>
      <c r="T532" s="165"/>
      <c r="U532" s="165">
        <v>5000</v>
      </c>
      <c r="V532" s="181">
        <f t="shared" si="68"/>
        <v>0</v>
      </c>
      <c r="W532" s="180">
        <f>S540-Q540</f>
        <v>0</v>
      </c>
      <c r="Z532" s="188"/>
    </row>
    <row r="533" spans="1:26" ht="15.75">
      <c r="A533" s="160" t="s">
        <v>1389</v>
      </c>
      <c r="B533" s="160" t="s">
        <v>1390</v>
      </c>
      <c r="C533" s="188"/>
      <c r="D533" s="165"/>
      <c r="E533" s="165"/>
      <c r="F533" s="165"/>
      <c r="G533" s="165"/>
      <c r="H533" s="165"/>
      <c r="I533" s="165"/>
      <c r="J533" s="165"/>
      <c r="K533" s="165"/>
      <c r="L533" s="165"/>
      <c r="M533" s="165"/>
      <c r="N533" s="165"/>
      <c r="O533" s="162"/>
      <c r="P533" s="162">
        <v>0</v>
      </c>
      <c r="Q533" s="165">
        <v>0</v>
      </c>
      <c r="R533" s="165"/>
      <c r="S533" s="165">
        <v>0</v>
      </c>
      <c r="T533" s="165"/>
      <c r="U533" s="165">
        <v>0</v>
      </c>
      <c r="V533" s="181" t="e">
        <f t="shared" si="68"/>
        <v>#DIV/0!</v>
      </c>
      <c r="W533" s="180"/>
      <c r="Z533" s="188"/>
    </row>
    <row r="534" spans="1:26" ht="15.75">
      <c r="A534" s="160" t="s">
        <v>730</v>
      </c>
      <c r="B534" s="160" t="s">
        <v>731</v>
      </c>
      <c r="C534" s="188"/>
      <c r="D534" s="165"/>
      <c r="E534" s="165">
        <v>0</v>
      </c>
      <c r="F534" s="165"/>
      <c r="G534" s="165">
        <v>4753.93</v>
      </c>
      <c r="H534" s="165"/>
      <c r="I534" s="165">
        <v>130</v>
      </c>
      <c r="J534" s="165"/>
      <c r="K534" s="165">
        <v>0</v>
      </c>
      <c r="L534" s="165"/>
      <c r="M534" s="165">
        <v>3423.24</v>
      </c>
      <c r="N534" s="165">
        <v>13142.95</v>
      </c>
      <c r="O534" s="162">
        <v>12432.54</v>
      </c>
      <c r="P534" s="162">
        <v>23312.52</v>
      </c>
      <c r="Q534" s="165">
        <v>25000</v>
      </c>
      <c r="R534" s="165"/>
      <c r="S534" s="165">
        <v>25073</v>
      </c>
      <c r="T534" s="165"/>
      <c r="U534" s="165">
        <v>25000</v>
      </c>
      <c r="V534" s="181">
        <f t="shared" si="68"/>
        <v>0</v>
      </c>
      <c r="W534" s="180">
        <f>S541-Q541</f>
        <v>1277</v>
      </c>
    </row>
    <row r="535" spans="1:26" ht="15.75">
      <c r="A535" s="161" t="s">
        <v>812</v>
      </c>
      <c r="B535" s="160" t="s">
        <v>1261</v>
      </c>
      <c r="C535" s="188"/>
      <c r="D535" s="165"/>
      <c r="E535" s="165">
        <v>3480</v>
      </c>
      <c r="F535" s="165"/>
      <c r="G535" s="165">
        <v>0</v>
      </c>
      <c r="H535" s="165"/>
      <c r="I535" s="165">
        <v>0</v>
      </c>
      <c r="J535" s="165"/>
      <c r="K535" s="165">
        <v>578.37</v>
      </c>
      <c r="L535" s="165"/>
      <c r="M535" s="165">
        <v>600</v>
      </c>
      <c r="N535" s="165">
        <v>647.69000000000005</v>
      </c>
      <c r="O535" s="162">
        <v>0</v>
      </c>
      <c r="P535" s="162">
        <v>0</v>
      </c>
      <c r="Q535" s="165">
        <v>1000</v>
      </c>
      <c r="R535" s="165"/>
      <c r="S535" s="165">
        <v>1000</v>
      </c>
      <c r="T535" s="165"/>
      <c r="U535" s="165">
        <v>1000</v>
      </c>
      <c r="V535" s="181">
        <f t="shared" si="68"/>
        <v>0</v>
      </c>
      <c r="W535" s="180">
        <f>S542-Q542</f>
        <v>0</v>
      </c>
    </row>
    <row r="536" spans="1:26" ht="15.75">
      <c r="A536" s="160" t="s">
        <v>582</v>
      </c>
      <c r="B536" s="160" t="s">
        <v>72</v>
      </c>
      <c r="C536" s="188"/>
      <c r="D536" s="165"/>
      <c r="E536" s="165">
        <v>3480</v>
      </c>
      <c r="F536" s="165"/>
      <c r="G536" s="165">
        <v>3022.99</v>
      </c>
      <c r="H536" s="165"/>
      <c r="I536" s="165">
        <v>5012.1899999999996</v>
      </c>
      <c r="J536" s="165"/>
      <c r="K536" s="165">
        <v>4913.0600000000004</v>
      </c>
      <c r="L536" s="165"/>
      <c r="M536" s="165">
        <v>0</v>
      </c>
      <c r="N536" s="165">
        <v>1111.8699999999999</v>
      </c>
      <c r="O536" s="162">
        <v>2102.0500000000002</v>
      </c>
      <c r="P536" s="162">
        <v>0</v>
      </c>
      <c r="Q536" s="165">
        <v>3000</v>
      </c>
      <c r="R536" s="165"/>
      <c r="S536" s="165">
        <v>2322.1799999999998</v>
      </c>
      <c r="T536" s="165"/>
      <c r="U536" s="165">
        <v>3000</v>
      </c>
      <c r="V536" s="181">
        <f t="shared" si="68"/>
        <v>0</v>
      </c>
      <c r="W536" s="192">
        <f>S543-Q543</f>
        <v>753.18000000000029</v>
      </c>
    </row>
    <row r="537" spans="1:26" ht="15.75" hidden="1">
      <c r="A537" s="160" t="s">
        <v>971</v>
      </c>
      <c r="B537" s="160" t="s">
        <v>178</v>
      </c>
      <c r="C537" s="188"/>
      <c r="D537" s="165"/>
      <c r="E537" s="165">
        <v>0</v>
      </c>
      <c r="F537" s="165"/>
      <c r="G537" s="165">
        <v>0</v>
      </c>
      <c r="H537" s="165"/>
      <c r="I537" s="165">
        <v>5849.01</v>
      </c>
      <c r="J537" s="165"/>
      <c r="K537" s="165">
        <v>0</v>
      </c>
      <c r="L537" s="165"/>
      <c r="M537" s="165">
        <v>500</v>
      </c>
      <c r="N537" s="165">
        <v>0</v>
      </c>
      <c r="O537" s="162">
        <v>0</v>
      </c>
      <c r="P537" s="162"/>
      <c r="R537" s="165"/>
      <c r="T537" s="165"/>
      <c r="V537" s="181">
        <v>0</v>
      </c>
      <c r="W537" s="180"/>
      <c r="X537" s="188"/>
    </row>
    <row r="538" spans="1:26" ht="15.75">
      <c r="A538" s="160" t="s">
        <v>732</v>
      </c>
      <c r="B538" s="160" t="s">
        <v>733</v>
      </c>
      <c r="C538" s="188"/>
      <c r="D538" s="165"/>
      <c r="E538" s="165">
        <v>0</v>
      </c>
      <c r="F538" s="165"/>
      <c r="G538" s="165">
        <v>0</v>
      </c>
      <c r="H538" s="165"/>
      <c r="I538" s="165">
        <v>5849.01</v>
      </c>
      <c r="J538" s="165"/>
      <c r="K538" s="165">
        <v>0</v>
      </c>
      <c r="L538" s="165"/>
      <c r="M538" s="165">
        <v>6904.49</v>
      </c>
      <c r="N538" s="165">
        <v>2610.23</v>
      </c>
      <c r="O538" s="162">
        <v>450</v>
      </c>
      <c r="P538" s="162">
        <v>0</v>
      </c>
      <c r="Q538" s="165">
        <v>1500</v>
      </c>
      <c r="R538" s="165"/>
      <c r="S538" s="165">
        <v>1500</v>
      </c>
      <c r="T538" s="165"/>
      <c r="U538" s="165">
        <v>1500</v>
      </c>
      <c r="V538" s="181">
        <f t="shared" si="68"/>
        <v>0</v>
      </c>
      <c r="W538" s="180"/>
    </row>
    <row r="539" spans="1:26" ht="15.75" hidden="1">
      <c r="A539" s="160" t="s">
        <v>786</v>
      </c>
      <c r="B539" s="160" t="s">
        <v>427</v>
      </c>
      <c r="C539" s="188"/>
      <c r="D539" s="165"/>
      <c r="E539" s="165"/>
      <c r="F539" s="165"/>
      <c r="G539" s="165">
        <v>0</v>
      </c>
      <c r="H539" s="165"/>
      <c r="I539" s="165">
        <v>29565.35</v>
      </c>
      <c r="J539" s="165"/>
      <c r="K539" s="165">
        <v>0</v>
      </c>
      <c r="L539" s="165"/>
      <c r="M539" s="165">
        <v>0</v>
      </c>
      <c r="N539" s="165">
        <v>327.47000000000003</v>
      </c>
      <c r="O539" s="162">
        <v>3933.42</v>
      </c>
      <c r="P539" s="162"/>
      <c r="R539" s="165"/>
      <c r="T539" s="165"/>
      <c r="V539" s="181">
        <v>0</v>
      </c>
      <c r="W539" s="180"/>
    </row>
    <row r="540" spans="1:26" hidden="1">
      <c r="A540" s="160" t="s">
        <v>893</v>
      </c>
      <c r="B540" s="160" t="s">
        <v>606</v>
      </c>
      <c r="C540" s="160"/>
      <c r="D540" s="165"/>
      <c r="E540" s="165"/>
      <c r="F540" s="165"/>
      <c r="G540" s="165">
        <v>0</v>
      </c>
      <c r="H540" s="165"/>
      <c r="I540" s="165">
        <v>0</v>
      </c>
      <c r="J540" s="165"/>
      <c r="K540" s="165">
        <v>0</v>
      </c>
      <c r="L540" s="165"/>
      <c r="M540" s="165">
        <v>0</v>
      </c>
      <c r="N540" s="165">
        <v>0</v>
      </c>
      <c r="O540" s="162">
        <v>0</v>
      </c>
      <c r="P540" s="162"/>
      <c r="R540" s="165"/>
      <c r="T540" s="165"/>
      <c r="V540" s="181">
        <v>0</v>
      </c>
      <c r="W540" s="180">
        <f>S389-Q389</f>
        <v>0</v>
      </c>
    </row>
    <row r="541" spans="1:26" ht="15.75">
      <c r="A541" s="160" t="s">
        <v>716</v>
      </c>
      <c r="B541" s="160" t="s">
        <v>797</v>
      </c>
      <c r="C541" s="188"/>
      <c r="D541" s="165"/>
      <c r="E541" s="165">
        <v>0</v>
      </c>
      <c r="F541" s="165"/>
      <c r="G541" s="165">
        <v>2427.62</v>
      </c>
      <c r="H541" s="165"/>
      <c r="I541" s="165">
        <v>257.13</v>
      </c>
      <c r="J541" s="165"/>
      <c r="K541" s="165">
        <v>74.569999999999993</v>
      </c>
      <c r="L541" s="165"/>
      <c r="M541" s="165">
        <v>0</v>
      </c>
      <c r="N541" s="165">
        <v>0</v>
      </c>
      <c r="O541" s="162">
        <v>71.599999999999994</v>
      </c>
      <c r="P541" s="162">
        <v>20386.419999999998</v>
      </c>
      <c r="Q541" s="165">
        <v>22225</v>
      </c>
      <c r="R541" s="165"/>
      <c r="S541" s="165">
        <v>23502</v>
      </c>
      <c r="T541" s="165"/>
      <c r="U541" s="165">
        <v>25000</v>
      </c>
      <c r="V541" s="181">
        <f t="shared" si="68"/>
        <v>0.12485939257592801</v>
      </c>
      <c r="W541" s="180">
        <f>S390-Q390</f>
        <v>0</v>
      </c>
    </row>
    <row r="542" spans="1:26" ht="15.75" hidden="1">
      <c r="A542" s="160" t="s">
        <v>1007</v>
      </c>
      <c r="B542" s="160" t="s">
        <v>697</v>
      </c>
      <c r="C542" s="188"/>
      <c r="D542" s="165"/>
      <c r="E542" s="165">
        <v>0</v>
      </c>
      <c r="F542" s="165"/>
      <c r="G542" s="165">
        <v>2427.62</v>
      </c>
      <c r="H542" s="165"/>
      <c r="I542" s="165">
        <v>257.13</v>
      </c>
      <c r="J542" s="165"/>
      <c r="K542" s="165">
        <v>74.569999999999993</v>
      </c>
      <c r="L542" s="165"/>
      <c r="M542" s="165">
        <v>0</v>
      </c>
      <c r="N542" s="165">
        <v>0</v>
      </c>
      <c r="O542" s="162"/>
      <c r="P542" s="162"/>
      <c r="R542" s="165"/>
      <c r="T542" s="165"/>
      <c r="V542" s="181">
        <v>0</v>
      </c>
      <c r="W542" s="180">
        <f>S391-Q391</f>
        <v>0</v>
      </c>
    </row>
    <row r="543" spans="1:26" ht="15.75">
      <c r="B543" s="172" t="s">
        <v>470</v>
      </c>
      <c r="C543" s="188"/>
      <c r="D543" s="332"/>
      <c r="E543" s="287">
        <f>SUM(E532:E542)</f>
        <v>7418</v>
      </c>
      <c r="F543" s="332"/>
      <c r="G543" s="287">
        <f>SUM(G532:G542)</f>
        <v>13855.399999999998</v>
      </c>
      <c r="H543" s="332"/>
      <c r="I543" s="287">
        <f>SUM(I532:I542)</f>
        <v>48495.759999999995</v>
      </c>
      <c r="J543" s="332"/>
      <c r="K543" s="287">
        <f>SUM(K532:K542)</f>
        <v>7399.8899999999994</v>
      </c>
      <c r="L543" s="332"/>
      <c r="M543" s="287">
        <f>SUM(M532:M542)</f>
        <v>11509.18</v>
      </c>
      <c r="N543" s="287">
        <f>SUM(N532:N542)</f>
        <v>18083.29</v>
      </c>
      <c r="O543" s="285">
        <f>SUM(O532:O542)</f>
        <v>19388.409999999996</v>
      </c>
      <c r="P543" s="333">
        <f t="shared" ref="P543:U543" si="69">SUM(P526:P542)</f>
        <v>55416.229999999996</v>
      </c>
      <c r="Q543" s="333">
        <f t="shared" si="69"/>
        <v>64660</v>
      </c>
      <c r="R543" s="333">
        <f t="shared" si="69"/>
        <v>0</v>
      </c>
      <c r="S543" s="333">
        <f t="shared" si="69"/>
        <v>65413.18</v>
      </c>
      <c r="T543" s="333">
        <f t="shared" si="69"/>
        <v>0</v>
      </c>
      <c r="U543" s="333">
        <f t="shared" si="69"/>
        <v>67614</v>
      </c>
      <c r="V543" s="384">
        <f>(U543-Q543)/Q543</f>
        <v>4.5685122177544078E-2</v>
      </c>
      <c r="W543" s="192">
        <f>S392-Q392</f>
        <v>0</v>
      </c>
    </row>
    <row r="544" spans="1:26" ht="15.75">
      <c r="B544" s="172"/>
      <c r="C544" s="188"/>
      <c r="D544" s="165"/>
      <c r="E544" s="193"/>
      <c r="F544" s="165"/>
      <c r="G544" s="193"/>
      <c r="H544" s="165"/>
      <c r="I544" s="193"/>
      <c r="J544" s="165"/>
      <c r="K544" s="193"/>
      <c r="L544" s="165"/>
      <c r="M544" s="193"/>
      <c r="N544" s="193"/>
      <c r="O544" s="292"/>
      <c r="P544" s="292"/>
      <c r="Q544" s="292"/>
      <c r="R544" s="292"/>
      <c r="S544" s="292"/>
      <c r="T544" s="292"/>
      <c r="U544" s="292"/>
      <c r="V544" s="394"/>
      <c r="W544" s="392"/>
    </row>
    <row r="545" spans="1:24" ht="15.75">
      <c r="A545" s="423" t="s">
        <v>1372</v>
      </c>
      <c r="B545" s="423"/>
      <c r="C545" s="423"/>
      <c r="D545" s="260"/>
      <c r="E545" s="165"/>
      <c r="F545" s="260"/>
      <c r="G545" s="165"/>
      <c r="H545" s="260"/>
      <c r="I545" s="165"/>
      <c r="J545" s="260"/>
      <c r="K545" s="165"/>
      <c r="L545" s="260"/>
      <c r="M545" s="165"/>
      <c r="N545" s="165"/>
      <c r="Q545" s="260"/>
      <c r="R545" s="253"/>
      <c r="S545" s="260"/>
      <c r="T545" s="260"/>
      <c r="U545" s="260"/>
      <c r="V545" s="394"/>
      <c r="W545" s="392"/>
    </row>
    <row r="546" spans="1:24" ht="15.75">
      <c r="A546" s="161" t="s">
        <v>583</v>
      </c>
      <c r="B546" s="160" t="s">
        <v>1461</v>
      </c>
      <c r="C546" s="160"/>
      <c r="D546" s="165"/>
      <c r="E546" s="165">
        <v>1907</v>
      </c>
      <c r="F546" s="165"/>
      <c r="G546" s="165">
        <v>1869.97</v>
      </c>
      <c r="H546" s="165"/>
      <c r="I546" s="165">
        <v>1949.94</v>
      </c>
      <c r="J546" s="165"/>
      <c r="K546" s="165">
        <v>1408.5</v>
      </c>
      <c r="L546" s="165"/>
      <c r="M546" s="165">
        <v>1779.19</v>
      </c>
      <c r="N546" s="165">
        <v>1711.33</v>
      </c>
      <c r="O546" s="162">
        <v>1841.11</v>
      </c>
      <c r="P546" s="162">
        <v>6392</v>
      </c>
      <c r="Q546" s="165">
        <v>7000</v>
      </c>
      <c r="R546" s="165"/>
      <c r="S546" s="165">
        <v>7000</v>
      </c>
      <c r="T546" s="165"/>
      <c r="U546" s="165">
        <v>7000</v>
      </c>
      <c r="V546" s="394"/>
      <c r="W546" s="392"/>
    </row>
    <row r="547" spans="1:24" ht="15.75">
      <c r="A547" s="161" t="s">
        <v>584</v>
      </c>
      <c r="B547" s="160" t="s">
        <v>33</v>
      </c>
      <c r="C547" s="160"/>
      <c r="D547" s="165"/>
      <c r="E547" s="165">
        <v>6346</v>
      </c>
      <c r="F547" s="165"/>
      <c r="G547" s="165">
        <v>4315</v>
      </c>
      <c r="H547" s="165"/>
      <c r="I547" s="165">
        <v>2775</v>
      </c>
      <c r="J547" s="165"/>
      <c r="K547" s="165">
        <v>6528.2</v>
      </c>
      <c r="L547" s="165"/>
      <c r="M547" s="165">
        <v>3742</v>
      </c>
      <c r="N547" s="165">
        <v>4336.25</v>
      </c>
      <c r="O547" s="162">
        <v>5200</v>
      </c>
      <c r="P547" s="162">
        <v>7056.45</v>
      </c>
      <c r="Q547" s="165">
        <v>7000</v>
      </c>
      <c r="R547" s="165"/>
      <c r="S547" s="165">
        <v>7000</v>
      </c>
      <c r="T547" s="165"/>
      <c r="U547" s="165">
        <v>8000</v>
      </c>
      <c r="V547" s="394"/>
      <c r="W547" s="392"/>
    </row>
    <row r="548" spans="1:24" ht="15.75" hidden="1">
      <c r="A548" s="161" t="s">
        <v>585</v>
      </c>
      <c r="B548" s="160" t="s">
        <v>473</v>
      </c>
      <c r="C548" s="160"/>
      <c r="D548" s="165"/>
      <c r="E548" s="165">
        <v>315</v>
      </c>
      <c r="F548" s="165"/>
      <c r="G548" s="165">
        <v>105</v>
      </c>
      <c r="H548" s="165"/>
      <c r="I548" s="165">
        <v>175</v>
      </c>
      <c r="J548" s="165"/>
      <c r="K548" s="165">
        <v>0</v>
      </c>
      <c r="L548" s="165"/>
      <c r="M548" s="165">
        <v>35</v>
      </c>
      <c r="N548" s="165"/>
      <c r="O548" s="162">
        <v>-35</v>
      </c>
      <c r="P548" s="162"/>
      <c r="R548" s="165"/>
      <c r="T548" s="165"/>
      <c r="V548" s="394"/>
      <c r="W548" s="392"/>
    </row>
    <row r="549" spans="1:24" ht="15.75">
      <c r="A549" s="161" t="s">
        <v>32</v>
      </c>
      <c r="B549" s="160" t="s">
        <v>1395</v>
      </c>
      <c r="C549" s="160"/>
      <c r="D549" s="165"/>
      <c r="E549" s="165">
        <v>2987</v>
      </c>
      <c r="F549" s="165"/>
      <c r="G549" s="165">
        <v>3541.61</v>
      </c>
      <c r="H549" s="165"/>
      <c r="I549" s="165">
        <v>4640.34</v>
      </c>
      <c r="J549" s="165"/>
      <c r="K549" s="165">
        <v>3808.27</v>
      </c>
      <c r="L549" s="165"/>
      <c r="M549" s="165">
        <v>0</v>
      </c>
      <c r="N549" s="165"/>
      <c r="O549" s="162">
        <v>3127.5</v>
      </c>
      <c r="P549" s="162">
        <v>295</v>
      </c>
      <c r="Q549" s="165">
        <v>2000</v>
      </c>
      <c r="R549" s="165"/>
      <c r="S549" s="165">
        <v>2367.1799999999998</v>
      </c>
      <c r="T549" s="165"/>
      <c r="U549" s="165">
        <v>5000</v>
      </c>
      <c r="V549" s="394"/>
      <c r="W549" s="392"/>
    </row>
    <row r="550" spans="1:24" ht="15.75">
      <c r="A550" s="161" t="s">
        <v>1176</v>
      </c>
      <c r="B550" s="160" t="s">
        <v>1177</v>
      </c>
      <c r="C550" s="160"/>
      <c r="D550" s="165"/>
      <c r="E550" s="165">
        <v>2987</v>
      </c>
      <c r="F550" s="165"/>
      <c r="G550" s="165">
        <v>3541.61</v>
      </c>
      <c r="H550" s="165"/>
      <c r="I550" s="165">
        <v>4640.34</v>
      </c>
      <c r="J550" s="165"/>
      <c r="K550" s="165">
        <v>3808.27</v>
      </c>
      <c r="L550" s="165"/>
      <c r="M550" s="165">
        <v>0</v>
      </c>
      <c r="N550" s="165"/>
      <c r="O550" s="162">
        <v>1500</v>
      </c>
      <c r="P550" s="162">
        <v>1848</v>
      </c>
      <c r="Q550" s="165">
        <v>0</v>
      </c>
      <c r="R550" s="165"/>
      <c r="S550" s="165">
        <v>0</v>
      </c>
      <c r="T550" s="165"/>
      <c r="U550" s="165">
        <v>0</v>
      </c>
      <c r="V550" s="394"/>
      <c r="W550" s="392"/>
    </row>
    <row r="551" spans="1:24" ht="15.75">
      <c r="B551" s="172" t="s">
        <v>470</v>
      </c>
      <c r="C551" s="161"/>
      <c r="D551" s="332"/>
      <c r="E551" s="287">
        <f>SUM(E546:E550)</f>
        <v>14542</v>
      </c>
      <c r="F551" s="332"/>
      <c r="G551" s="287">
        <f>SUM(G546:G550)</f>
        <v>13373.19</v>
      </c>
      <c r="H551" s="332"/>
      <c r="I551" s="287">
        <f>SUM(I546:I550)</f>
        <v>14180.62</v>
      </c>
      <c r="J551" s="332"/>
      <c r="K551" s="287">
        <f>SUM(K546:K550)</f>
        <v>15553.24</v>
      </c>
      <c r="L551" s="332"/>
      <c r="M551" s="287">
        <f>SUM(M546:M550)</f>
        <v>5556.1900000000005</v>
      </c>
      <c r="N551" s="287">
        <f t="shared" ref="N551:U551" si="70">SUM(N546:N550)</f>
        <v>6047.58</v>
      </c>
      <c r="O551" s="285">
        <f>SUM(O546:O550)</f>
        <v>11633.61</v>
      </c>
      <c r="P551" s="333">
        <f>SUM(P546:P550)</f>
        <v>15591.45</v>
      </c>
      <c r="Q551" s="333">
        <f>SUM(Q546:Q550)</f>
        <v>16000</v>
      </c>
      <c r="R551" s="242">
        <f t="shared" si="70"/>
        <v>0</v>
      </c>
      <c r="S551" s="242">
        <f t="shared" si="70"/>
        <v>16367.18</v>
      </c>
      <c r="T551" s="242">
        <f t="shared" si="70"/>
        <v>0</v>
      </c>
      <c r="U551" s="242">
        <f t="shared" si="70"/>
        <v>20000</v>
      </c>
      <c r="W551" s="180"/>
      <c r="X551" s="188"/>
    </row>
    <row r="552" spans="1:24" ht="15.75">
      <c r="C552" s="188"/>
      <c r="D552" s="165"/>
      <c r="E552" s="165"/>
      <c r="F552" s="165"/>
      <c r="G552" s="165"/>
      <c r="H552" s="165"/>
      <c r="I552" s="165"/>
      <c r="J552" s="165"/>
      <c r="K552" s="165"/>
      <c r="L552" s="165"/>
      <c r="M552" s="165"/>
      <c r="N552" s="165"/>
      <c r="O552" s="162"/>
      <c r="P552" s="162"/>
      <c r="Q552" s="178"/>
      <c r="R552" s="253"/>
      <c r="S552" s="178"/>
      <c r="T552" s="165"/>
      <c r="U552" s="178"/>
      <c r="W552" s="180"/>
    </row>
    <row r="553" spans="1:24" s="196" customFormat="1" ht="15.75" hidden="1">
      <c r="A553" s="423" t="s">
        <v>1382</v>
      </c>
      <c r="B553" s="423"/>
      <c r="C553" s="423"/>
      <c r="D553" s="165"/>
      <c r="E553" s="165"/>
      <c r="F553" s="165"/>
      <c r="G553" s="165"/>
      <c r="H553" s="165"/>
      <c r="I553" s="165"/>
      <c r="J553" s="165"/>
      <c r="K553" s="165"/>
      <c r="L553" s="165"/>
      <c r="M553" s="165"/>
      <c r="N553" s="165"/>
      <c r="O553" s="162"/>
      <c r="P553" s="162"/>
      <c r="Q553" s="165"/>
      <c r="R553" s="253"/>
      <c r="S553" s="165"/>
      <c r="T553" s="165"/>
      <c r="U553" s="165"/>
      <c r="V553" s="181"/>
      <c r="W553" s="180">
        <f>S215-Q215</f>
        <v>-5420</v>
      </c>
      <c r="X553" s="160"/>
    </row>
    <row r="554" spans="1:24" ht="15.75" hidden="1">
      <c r="A554" s="160" t="s">
        <v>481</v>
      </c>
      <c r="B554" s="259" t="s">
        <v>482</v>
      </c>
      <c r="C554" s="188"/>
      <c r="D554" s="193"/>
      <c r="E554" s="165">
        <v>3451</v>
      </c>
      <c r="F554" s="193"/>
      <c r="G554" s="165">
        <v>2821.32</v>
      </c>
      <c r="H554" s="193"/>
      <c r="I554" s="165">
        <v>4000</v>
      </c>
      <c r="J554" s="193"/>
      <c r="K554" s="165">
        <v>4000</v>
      </c>
      <c r="L554" s="193"/>
      <c r="M554" s="165">
        <v>4500</v>
      </c>
      <c r="N554" s="165">
        <v>4500</v>
      </c>
      <c r="O554" s="162">
        <v>3000</v>
      </c>
      <c r="P554" s="162">
        <v>0</v>
      </c>
      <c r="Q554" s="165">
        <v>0</v>
      </c>
      <c r="R554" s="165"/>
      <c r="S554" s="165">
        <v>0</v>
      </c>
      <c r="T554" s="193"/>
      <c r="U554" s="165">
        <v>0</v>
      </c>
      <c r="V554" s="181" t="e">
        <f>(U554-Q554)/Q554</f>
        <v>#DIV/0!</v>
      </c>
      <c r="W554" s="180">
        <f>S217-Q217</f>
        <v>-317</v>
      </c>
    </row>
    <row r="555" spans="1:24" ht="15.75" hidden="1">
      <c r="B555" s="172" t="s">
        <v>470</v>
      </c>
      <c r="C555" s="177"/>
      <c r="D555" s="332"/>
      <c r="E555" s="287">
        <f>SUM(E554:E554)</f>
        <v>3451</v>
      </c>
      <c r="F555" s="332"/>
      <c r="G555" s="287">
        <f>SUM(G554)</f>
        <v>2821.32</v>
      </c>
      <c r="H555" s="332"/>
      <c r="I555" s="287">
        <f>SUM(I554)</f>
        <v>4000</v>
      </c>
      <c r="J555" s="332"/>
      <c r="K555" s="287">
        <f>SUM(K554)</f>
        <v>4000</v>
      </c>
      <c r="L555" s="332"/>
      <c r="M555" s="287">
        <f t="shared" ref="M555:S555" si="71">SUM(M554)</f>
        <v>4500</v>
      </c>
      <c r="N555" s="287">
        <f t="shared" si="71"/>
        <v>4500</v>
      </c>
      <c r="O555" s="285">
        <f t="shared" si="71"/>
        <v>3000</v>
      </c>
      <c r="P555" s="333">
        <f>SUM(P554)</f>
        <v>0</v>
      </c>
      <c r="Q555" s="333">
        <f>SUM(Q554)</f>
        <v>0</v>
      </c>
      <c r="R555" s="242">
        <f t="shared" si="71"/>
        <v>0</v>
      </c>
      <c r="S555" s="242">
        <f t="shared" si="71"/>
        <v>0</v>
      </c>
      <c r="T555" s="399"/>
      <c r="U555" s="242">
        <f>SUM(U554)</f>
        <v>0</v>
      </c>
      <c r="V555" s="384" t="e">
        <f>(U555-Q555)/Q555</f>
        <v>#DIV/0!</v>
      </c>
      <c r="W555" s="180">
        <f>S218-Q218</f>
        <v>-65</v>
      </c>
    </row>
    <row r="556" spans="1:24" ht="15.75" hidden="1">
      <c r="B556" s="172"/>
      <c r="C556" s="177"/>
      <c r="D556" s="165"/>
      <c r="E556" s="193"/>
      <c r="F556" s="165"/>
      <c r="G556" s="193"/>
      <c r="H556" s="165"/>
      <c r="I556" s="193"/>
      <c r="J556" s="165"/>
      <c r="K556" s="193"/>
      <c r="L556" s="165"/>
      <c r="M556" s="193"/>
      <c r="N556" s="193"/>
      <c r="O556" s="292"/>
      <c r="P556" s="292"/>
      <c r="Q556" s="292"/>
      <c r="R556" s="193"/>
      <c r="S556" s="193"/>
      <c r="T556" s="165"/>
      <c r="U556" s="193"/>
      <c r="V556" s="394"/>
      <c r="W556" s="180"/>
    </row>
    <row r="557" spans="1:24" ht="15.75" hidden="1">
      <c r="A557" s="423" t="s">
        <v>972</v>
      </c>
      <c r="B557" s="423"/>
      <c r="C557" s="423"/>
      <c r="D557" s="165"/>
      <c r="E557" s="165"/>
      <c r="F557" s="165"/>
      <c r="G557" s="165"/>
      <c r="H557" s="165"/>
      <c r="I557" s="165"/>
      <c r="J557" s="165"/>
      <c r="K557" s="165"/>
      <c r="L557" s="165"/>
      <c r="M557" s="165"/>
      <c r="N557" s="165"/>
      <c r="O557" s="162"/>
      <c r="P557" s="162"/>
      <c r="R557" s="253"/>
      <c r="T557" s="165"/>
      <c r="V557" s="394"/>
      <c r="W557" s="180"/>
    </row>
    <row r="558" spans="1:24" ht="15.75" hidden="1">
      <c r="A558" s="160" t="s">
        <v>973</v>
      </c>
      <c r="B558" s="259" t="s">
        <v>1225</v>
      </c>
      <c r="C558" s="188"/>
      <c r="D558" s="193"/>
      <c r="E558" s="165">
        <v>3451</v>
      </c>
      <c r="F558" s="193"/>
      <c r="G558" s="165">
        <v>30769.64</v>
      </c>
      <c r="H558" s="193"/>
      <c r="I558" s="165">
        <v>28048.86</v>
      </c>
      <c r="J558" s="193"/>
      <c r="K558" s="165">
        <v>28048.86</v>
      </c>
      <c r="L558" s="193"/>
      <c r="M558" s="165">
        <v>82758.350000000006</v>
      </c>
      <c r="N558" s="165"/>
      <c r="O558" s="162">
        <v>0</v>
      </c>
      <c r="P558" s="162">
        <v>0</v>
      </c>
      <c r="Q558" s="165">
        <v>0</v>
      </c>
      <c r="R558" s="165"/>
      <c r="S558" s="165">
        <v>0</v>
      </c>
      <c r="T558" s="193"/>
      <c r="U558" s="165">
        <v>0</v>
      </c>
      <c r="V558" s="394"/>
      <c r="W558" s="180"/>
    </row>
    <row r="559" spans="1:24" ht="15.75" hidden="1">
      <c r="B559" s="172" t="s">
        <v>470</v>
      </c>
      <c r="C559" s="177"/>
      <c r="D559" s="332"/>
      <c r="E559" s="287">
        <f>SUM(E558:E558)</f>
        <v>3451</v>
      </c>
      <c r="F559" s="332"/>
      <c r="G559" s="287">
        <f>SUM(G558)</f>
        <v>30769.64</v>
      </c>
      <c r="H559" s="332"/>
      <c r="I559" s="287">
        <f>SUM(I558)</f>
        <v>28048.86</v>
      </c>
      <c r="J559" s="332"/>
      <c r="K559" s="287">
        <f>SUM(K558)</f>
        <v>28048.86</v>
      </c>
      <c r="L559" s="332"/>
      <c r="M559" s="287">
        <f t="shared" ref="M559:S559" si="72">SUM(M558)</f>
        <v>82758.350000000006</v>
      </c>
      <c r="N559" s="287">
        <f t="shared" si="72"/>
        <v>0</v>
      </c>
      <c r="O559" s="285">
        <f t="shared" si="72"/>
        <v>0</v>
      </c>
      <c r="P559" s="333">
        <f>SUM(P558)</f>
        <v>0</v>
      </c>
      <c r="Q559" s="333">
        <f>SUM(Q558)</f>
        <v>0</v>
      </c>
      <c r="R559" s="242">
        <f t="shared" si="72"/>
        <v>0</v>
      </c>
      <c r="S559" s="242">
        <f t="shared" si="72"/>
        <v>0</v>
      </c>
      <c r="T559" s="399"/>
      <c r="U559" s="242">
        <f>SUM(U558)</f>
        <v>0</v>
      </c>
      <c r="V559" s="394"/>
      <c r="W559" s="180"/>
    </row>
    <row r="560" spans="1:24" s="188" customFormat="1" ht="15.75" hidden="1">
      <c r="A560" s="160"/>
      <c r="B560" s="172"/>
      <c r="C560" s="177"/>
      <c r="D560" s="179"/>
      <c r="E560" s="391"/>
      <c r="F560" s="179"/>
      <c r="G560" s="193"/>
      <c r="H560" s="253"/>
      <c r="I560" s="193"/>
      <c r="J560" s="253"/>
      <c r="K560" s="193"/>
      <c r="L560" s="253"/>
      <c r="M560" s="193"/>
      <c r="N560" s="193"/>
      <c r="O560" s="292"/>
      <c r="P560" s="292"/>
      <c r="Q560" s="165"/>
      <c r="R560" s="253"/>
      <c r="S560" s="165"/>
      <c r="T560" s="253"/>
      <c r="U560" s="165"/>
      <c r="V560" s="181"/>
      <c r="W560" s="180"/>
      <c r="X560" s="160"/>
    </row>
    <row r="561" spans="1:24" s="188" customFormat="1" ht="15.75">
      <c r="A561" s="423" t="s">
        <v>1009</v>
      </c>
      <c r="B561" s="423"/>
      <c r="C561" s="423"/>
      <c r="D561" s="165"/>
      <c r="E561" s="165"/>
      <c r="F561" s="165"/>
      <c r="G561" s="165"/>
      <c r="H561" s="165"/>
      <c r="I561" s="165"/>
      <c r="J561" s="165"/>
      <c r="K561" s="165"/>
      <c r="L561" s="165"/>
      <c r="M561" s="165"/>
      <c r="N561" s="165"/>
      <c r="O561" s="162"/>
      <c r="P561" s="162"/>
      <c r="Q561" s="165"/>
      <c r="R561" s="253"/>
      <c r="S561" s="165"/>
      <c r="T561" s="165"/>
      <c r="U561" s="165"/>
      <c r="V561" s="181"/>
      <c r="W561" s="180"/>
      <c r="X561" s="160"/>
    </row>
    <row r="562" spans="1:24" s="188" customFormat="1" ht="15.75">
      <c r="A562" s="160" t="s">
        <v>437</v>
      </c>
      <c r="B562" s="259" t="s">
        <v>593</v>
      </c>
      <c r="D562" s="193"/>
      <c r="E562" s="165">
        <v>3451</v>
      </c>
      <c r="F562" s="193"/>
      <c r="G562" s="165">
        <v>30769.64</v>
      </c>
      <c r="H562" s="193"/>
      <c r="I562" s="165">
        <v>28048.86</v>
      </c>
      <c r="J562" s="193"/>
      <c r="K562" s="165">
        <v>28048.86</v>
      </c>
      <c r="L562" s="193"/>
      <c r="M562" s="165">
        <v>82758.350000000006</v>
      </c>
      <c r="N562" s="165">
        <v>0</v>
      </c>
      <c r="O562" s="162">
        <v>31744.17</v>
      </c>
      <c r="P562" s="162">
        <v>34860.800000000003</v>
      </c>
      <c r="Q562" s="165">
        <v>35909</v>
      </c>
      <c r="R562" s="165"/>
      <c r="S562" s="165">
        <v>35909</v>
      </c>
      <c r="T562" s="193"/>
      <c r="U562" s="165">
        <v>37337</v>
      </c>
      <c r="V562" s="181">
        <f t="shared" ref="V562:V577" si="73">(U562-Q562)/Q562</f>
        <v>3.9767189284023501E-2</v>
      </c>
      <c r="W562" s="180"/>
      <c r="X562" s="160"/>
    </row>
    <row r="563" spans="1:24" s="188" customFormat="1" ht="15.75" hidden="1">
      <c r="A563" s="160" t="s">
        <v>1038</v>
      </c>
      <c r="B563" s="259" t="s">
        <v>1039</v>
      </c>
      <c r="D563" s="193"/>
      <c r="E563" s="165">
        <v>3451</v>
      </c>
      <c r="F563" s="193"/>
      <c r="G563" s="165">
        <v>30769.64</v>
      </c>
      <c r="H563" s="193"/>
      <c r="I563" s="165">
        <v>28048.86</v>
      </c>
      <c r="J563" s="193"/>
      <c r="K563" s="165">
        <v>28048.86</v>
      </c>
      <c r="L563" s="193"/>
      <c r="M563" s="165">
        <v>82758.350000000006</v>
      </c>
      <c r="N563" s="165">
        <v>0</v>
      </c>
      <c r="O563" s="162">
        <v>0</v>
      </c>
      <c r="P563" s="162"/>
      <c r="Q563" s="165"/>
      <c r="R563" s="165"/>
      <c r="S563" s="165"/>
      <c r="T563" s="193"/>
      <c r="U563" s="165"/>
      <c r="V563" s="181">
        <v>0</v>
      </c>
      <c r="W563" s="180"/>
      <c r="X563" s="160"/>
    </row>
    <row r="564" spans="1:24" s="188" customFormat="1" ht="15.75">
      <c r="A564" s="160" t="s">
        <v>1010</v>
      </c>
      <c r="B564" s="259" t="s">
        <v>280</v>
      </c>
      <c r="D564" s="193"/>
      <c r="E564" s="165"/>
      <c r="F564" s="193"/>
      <c r="G564" s="165"/>
      <c r="H564" s="193"/>
      <c r="I564" s="165"/>
      <c r="J564" s="193"/>
      <c r="K564" s="165"/>
      <c r="L564" s="193"/>
      <c r="M564" s="165"/>
      <c r="N564" s="165">
        <v>0</v>
      </c>
      <c r="O564" s="162">
        <v>233.89</v>
      </c>
      <c r="P564" s="162">
        <v>0</v>
      </c>
      <c r="Q564" s="165">
        <v>500</v>
      </c>
      <c r="R564" s="165"/>
      <c r="S564" s="165">
        <v>500</v>
      </c>
      <c r="T564" s="193"/>
      <c r="U564" s="165">
        <v>500</v>
      </c>
      <c r="V564" s="181">
        <f t="shared" si="73"/>
        <v>0</v>
      </c>
      <c r="W564" s="180"/>
      <c r="X564" s="160"/>
    </row>
    <row r="565" spans="1:24" s="188" customFormat="1" ht="15.75">
      <c r="A565" s="160" t="s">
        <v>207</v>
      </c>
      <c r="B565" s="259" t="s">
        <v>182</v>
      </c>
      <c r="D565" s="193"/>
      <c r="E565" s="165"/>
      <c r="F565" s="193"/>
      <c r="G565" s="165"/>
      <c r="H565" s="193"/>
      <c r="I565" s="165"/>
      <c r="J565" s="193"/>
      <c r="K565" s="165"/>
      <c r="L565" s="193"/>
      <c r="M565" s="165"/>
      <c r="N565" s="165">
        <v>0</v>
      </c>
      <c r="O565" s="162">
        <v>2019.92</v>
      </c>
      <c r="P565" s="162">
        <v>2100.75</v>
      </c>
      <c r="Q565" s="165">
        <v>2257</v>
      </c>
      <c r="R565" s="165"/>
      <c r="S565" s="165">
        <v>2257</v>
      </c>
      <c r="T565" s="193"/>
      <c r="U565" s="165">
        <v>2346</v>
      </c>
      <c r="V565" s="181">
        <f t="shared" si="73"/>
        <v>3.9432875498449267E-2</v>
      </c>
      <c r="W565" s="180"/>
      <c r="X565" s="160"/>
    </row>
    <row r="566" spans="1:24" s="188" customFormat="1" ht="15.75">
      <c r="A566" s="160" t="s">
        <v>208</v>
      </c>
      <c r="B566" s="259" t="s">
        <v>952</v>
      </c>
      <c r="D566" s="193"/>
      <c r="E566" s="165"/>
      <c r="F566" s="193"/>
      <c r="G566" s="165"/>
      <c r="H566" s="193"/>
      <c r="I566" s="165"/>
      <c r="J566" s="193"/>
      <c r="K566" s="165"/>
      <c r="L566" s="193"/>
      <c r="M566" s="165"/>
      <c r="N566" s="165">
        <v>0</v>
      </c>
      <c r="O566" s="162">
        <v>472.37</v>
      </c>
      <c r="P566" s="162">
        <v>491.32</v>
      </c>
      <c r="Q566" s="165">
        <v>528</v>
      </c>
      <c r="R566" s="165"/>
      <c r="S566" s="165">
        <v>528</v>
      </c>
      <c r="T566" s="193"/>
      <c r="U566" s="165">
        <v>549</v>
      </c>
      <c r="V566" s="181">
        <f t="shared" si="73"/>
        <v>3.9772727272727272E-2</v>
      </c>
      <c r="W566" s="180"/>
      <c r="X566" s="160"/>
    </row>
    <row r="567" spans="1:24" s="188" customFormat="1" ht="15.75">
      <c r="A567" s="160" t="s">
        <v>209</v>
      </c>
      <c r="B567" s="259" t="s">
        <v>598</v>
      </c>
      <c r="D567" s="193"/>
      <c r="E567" s="165"/>
      <c r="F567" s="193"/>
      <c r="G567" s="165"/>
      <c r="H567" s="193"/>
      <c r="I567" s="165"/>
      <c r="J567" s="193"/>
      <c r="K567" s="165"/>
      <c r="L567" s="193"/>
      <c r="M567" s="165"/>
      <c r="N567" s="165">
        <v>0</v>
      </c>
      <c r="O567" s="162">
        <v>5325.64</v>
      </c>
      <c r="P567" s="162">
        <v>5303.55</v>
      </c>
      <c r="Q567" s="165">
        <v>5505</v>
      </c>
      <c r="R567" s="165"/>
      <c r="S567" s="165">
        <v>6440</v>
      </c>
      <c r="T567" s="193"/>
      <c r="U567" s="165">
        <v>5945</v>
      </c>
      <c r="V567" s="181">
        <f t="shared" si="73"/>
        <v>7.9927338782924615E-2</v>
      </c>
      <c r="W567" s="180">
        <f>S575-Q575</f>
        <v>0</v>
      </c>
      <c r="X567" s="160"/>
    </row>
    <row r="568" spans="1:24" s="188" customFormat="1" ht="15.75">
      <c r="A568" s="160" t="s">
        <v>210</v>
      </c>
      <c r="B568" s="259" t="s">
        <v>1011</v>
      </c>
      <c r="D568" s="193"/>
      <c r="E568" s="165"/>
      <c r="F568" s="193"/>
      <c r="G568" s="165"/>
      <c r="H568" s="193"/>
      <c r="I568" s="165"/>
      <c r="J568" s="193"/>
      <c r="K568" s="165"/>
      <c r="L568" s="193"/>
      <c r="M568" s="165"/>
      <c r="N568" s="165">
        <v>0</v>
      </c>
      <c r="O568" s="162">
        <v>159.59</v>
      </c>
      <c r="P568" s="162">
        <v>188.94</v>
      </c>
      <c r="Q568" s="165">
        <v>252</v>
      </c>
      <c r="R568" s="165"/>
      <c r="S568" s="165">
        <v>13</v>
      </c>
      <c r="T568" s="193"/>
      <c r="U568" s="165">
        <v>90</v>
      </c>
      <c r="V568" s="181">
        <f t="shared" si="73"/>
        <v>-0.6428571428571429</v>
      </c>
      <c r="W568" s="180">
        <f>S576-Q576</f>
        <v>0</v>
      </c>
      <c r="X568" s="160"/>
    </row>
    <row r="569" spans="1:24" s="188" customFormat="1" ht="15.75">
      <c r="A569" s="160" t="s">
        <v>211</v>
      </c>
      <c r="B569" s="259" t="s">
        <v>602</v>
      </c>
      <c r="D569" s="193"/>
      <c r="E569" s="165"/>
      <c r="F569" s="193"/>
      <c r="G569" s="165"/>
      <c r="H569" s="193"/>
      <c r="I569" s="165"/>
      <c r="J569" s="193"/>
      <c r="K569" s="165"/>
      <c r="L569" s="193"/>
      <c r="M569" s="165"/>
      <c r="N569" s="165">
        <v>0</v>
      </c>
      <c r="O569" s="162">
        <v>364.36</v>
      </c>
      <c r="P569" s="162">
        <v>2581.91</v>
      </c>
      <c r="Q569" s="165">
        <v>2691</v>
      </c>
      <c r="R569" s="165"/>
      <c r="S569" s="165">
        <v>2691</v>
      </c>
      <c r="T569" s="193"/>
      <c r="U569" s="165">
        <v>2652</v>
      </c>
      <c r="V569" s="181">
        <f t="shared" si="73"/>
        <v>-1.4492753623188406E-2</v>
      </c>
      <c r="W569" s="192">
        <f>S577-Q577</f>
        <v>63</v>
      </c>
      <c r="X569" s="160"/>
    </row>
    <row r="570" spans="1:24" s="188" customFormat="1" ht="15.75">
      <c r="A570" s="160" t="s">
        <v>212</v>
      </c>
      <c r="B570" s="259" t="s">
        <v>604</v>
      </c>
      <c r="D570" s="193"/>
      <c r="E570" s="165"/>
      <c r="F570" s="193"/>
      <c r="G570" s="165"/>
      <c r="H570" s="193"/>
      <c r="I570" s="165"/>
      <c r="J570" s="193"/>
      <c r="K570" s="165"/>
      <c r="L570" s="193"/>
      <c r="M570" s="165"/>
      <c r="N570" s="165">
        <v>0</v>
      </c>
      <c r="O570" s="162">
        <v>775.38</v>
      </c>
      <c r="P570" s="162">
        <v>724.54</v>
      </c>
      <c r="Q570" s="165">
        <v>744</v>
      </c>
      <c r="R570" s="165"/>
      <c r="S570" s="165">
        <v>744</v>
      </c>
      <c r="T570" s="193"/>
      <c r="U570" s="165">
        <v>785</v>
      </c>
      <c r="V570" s="181">
        <f t="shared" si="73"/>
        <v>5.510752688172043E-2</v>
      </c>
      <c r="W570" s="180"/>
      <c r="X570" s="160"/>
    </row>
    <row r="571" spans="1:24" ht="15.75">
      <c r="A571" s="160" t="s">
        <v>371</v>
      </c>
      <c r="B571" s="259" t="s">
        <v>392</v>
      </c>
      <c r="C571" s="188"/>
      <c r="D571" s="193"/>
      <c r="E571" s="165"/>
      <c r="F571" s="193"/>
      <c r="G571" s="165"/>
      <c r="H571" s="193"/>
      <c r="I571" s="165"/>
      <c r="J571" s="193"/>
      <c r="K571" s="165"/>
      <c r="L571" s="193"/>
      <c r="M571" s="165"/>
      <c r="N571" s="165">
        <v>0</v>
      </c>
      <c r="O571" s="162">
        <v>57.6</v>
      </c>
      <c r="P571" s="162">
        <v>45</v>
      </c>
      <c r="Q571" s="165">
        <v>43</v>
      </c>
      <c r="R571" s="165"/>
      <c r="S571" s="165">
        <v>43</v>
      </c>
      <c r="T571" s="193"/>
      <c r="U571" s="165">
        <v>41</v>
      </c>
      <c r="V571" s="181">
        <f t="shared" si="73"/>
        <v>-4.6511627906976744E-2</v>
      </c>
      <c r="W571" s="180"/>
      <c r="X571" s="188"/>
    </row>
    <row r="572" spans="1:24" s="188" customFormat="1" ht="15.75">
      <c r="A572" s="160" t="s">
        <v>1012</v>
      </c>
      <c r="B572" s="259" t="s">
        <v>369</v>
      </c>
      <c r="D572" s="193"/>
      <c r="E572" s="165"/>
      <c r="F572" s="193"/>
      <c r="G572" s="165"/>
      <c r="H572" s="193"/>
      <c r="I572" s="165"/>
      <c r="J572" s="193"/>
      <c r="K572" s="165"/>
      <c r="L572" s="193"/>
      <c r="M572" s="165"/>
      <c r="N572" s="165">
        <v>0</v>
      </c>
      <c r="O572" s="162">
        <v>5892.28</v>
      </c>
      <c r="P572" s="162">
        <v>2870.72</v>
      </c>
      <c r="Q572" s="165">
        <v>3992</v>
      </c>
      <c r="R572" s="165"/>
      <c r="S572" s="165">
        <v>3992</v>
      </c>
      <c r="T572" s="193"/>
      <c r="U572" s="165">
        <v>6000</v>
      </c>
      <c r="V572" s="181">
        <f t="shared" si="73"/>
        <v>0.50300601202404804</v>
      </c>
      <c r="W572" s="180"/>
      <c r="X572" s="160"/>
    </row>
    <row r="573" spans="1:24" s="188" customFormat="1" ht="15.75" hidden="1">
      <c r="A573" s="160" t="s">
        <v>1323</v>
      </c>
      <c r="B573" s="259" t="s">
        <v>462</v>
      </c>
      <c r="D573" s="193"/>
      <c r="E573" s="165"/>
      <c r="F573" s="193"/>
      <c r="G573" s="165"/>
      <c r="H573" s="193"/>
      <c r="I573" s="165"/>
      <c r="J573" s="193"/>
      <c r="K573" s="165"/>
      <c r="L573" s="193"/>
      <c r="M573" s="165"/>
      <c r="N573" s="165"/>
      <c r="O573" s="162"/>
      <c r="P573" s="162"/>
      <c r="Q573" s="165"/>
      <c r="R573" s="165"/>
      <c r="S573" s="165"/>
      <c r="T573" s="193"/>
      <c r="U573" s="165"/>
      <c r="V573" s="181" t="e">
        <f t="shared" si="73"/>
        <v>#DIV/0!</v>
      </c>
      <c r="W573" s="180"/>
      <c r="X573" s="160"/>
    </row>
    <row r="574" spans="1:24" s="188" customFormat="1" ht="15.75">
      <c r="A574" s="160" t="s">
        <v>1013</v>
      </c>
      <c r="B574" s="259" t="s">
        <v>385</v>
      </c>
      <c r="D574" s="193"/>
      <c r="E574" s="165"/>
      <c r="F574" s="193"/>
      <c r="G574" s="165"/>
      <c r="H574" s="193"/>
      <c r="I574" s="165"/>
      <c r="J574" s="193"/>
      <c r="K574" s="165"/>
      <c r="L574" s="193"/>
      <c r="M574" s="165"/>
      <c r="N574" s="165">
        <v>0</v>
      </c>
      <c r="O574" s="162">
        <v>600</v>
      </c>
      <c r="P574" s="162">
        <v>1742.4</v>
      </c>
      <c r="Q574" s="165">
        <v>1833</v>
      </c>
      <c r="R574" s="165"/>
      <c r="S574" s="165">
        <v>1200</v>
      </c>
      <c r="T574" s="193"/>
      <c r="U574" s="165">
        <v>1100</v>
      </c>
      <c r="V574" s="181">
        <f t="shared" si="73"/>
        <v>-0.39989088925259136</v>
      </c>
      <c r="W574" s="180"/>
      <c r="X574" s="160"/>
    </row>
    <row r="575" spans="1:24" s="188" customFormat="1" ht="15.75">
      <c r="A575" s="160" t="s">
        <v>1014</v>
      </c>
      <c r="B575" s="259" t="s">
        <v>72</v>
      </c>
      <c r="D575" s="193"/>
      <c r="E575" s="165">
        <v>3451</v>
      </c>
      <c r="F575" s="193"/>
      <c r="G575" s="165">
        <v>30769.64</v>
      </c>
      <c r="H575" s="193"/>
      <c r="I575" s="165">
        <v>28048.86</v>
      </c>
      <c r="J575" s="193"/>
      <c r="K575" s="165">
        <v>28048.86</v>
      </c>
      <c r="L575" s="193"/>
      <c r="M575" s="165">
        <v>82758.350000000006</v>
      </c>
      <c r="N575" s="165">
        <v>0</v>
      </c>
      <c r="O575" s="162">
        <v>721.96</v>
      </c>
      <c r="P575" s="162">
        <v>1785.22</v>
      </c>
      <c r="Q575" s="165">
        <v>624</v>
      </c>
      <c r="R575" s="165"/>
      <c r="S575" s="165">
        <v>624</v>
      </c>
      <c r="T575" s="193"/>
      <c r="U575" s="165">
        <v>624</v>
      </c>
      <c r="V575" s="181">
        <f t="shared" si="73"/>
        <v>0</v>
      </c>
      <c r="W575" s="180">
        <f>S580-Q580</f>
        <v>0</v>
      </c>
      <c r="X575" s="160"/>
    </row>
    <row r="576" spans="1:24" s="188" customFormat="1" ht="15.75">
      <c r="A576" s="160" t="s">
        <v>1096</v>
      </c>
      <c r="B576" s="259" t="s">
        <v>1037</v>
      </c>
      <c r="D576" s="193"/>
      <c r="E576" s="165">
        <v>3451</v>
      </c>
      <c r="F576" s="193"/>
      <c r="G576" s="165">
        <v>30769.64</v>
      </c>
      <c r="H576" s="193"/>
      <c r="I576" s="165">
        <v>28048.86</v>
      </c>
      <c r="J576" s="193"/>
      <c r="K576" s="165">
        <v>28048.86</v>
      </c>
      <c r="L576" s="193"/>
      <c r="M576" s="165">
        <v>82758.350000000006</v>
      </c>
      <c r="N576" s="165">
        <v>0</v>
      </c>
      <c r="O576" s="162">
        <v>85600</v>
      </c>
      <c r="P576" s="162"/>
      <c r="Q576" s="165"/>
      <c r="R576" s="165"/>
      <c r="S576" s="165"/>
      <c r="T576" s="193"/>
      <c r="U576" s="165"/>
      <c r="V576" s="181">
        <v>0</v>
      </c>
      <c r="W576" s="180"/>
      <c r="X576" s="160"/>
    </row>
    <row r="577" spans="1:60" s="188" customFormat="1" ht="15.75">
      <c r="A577" s="160"/>
      <c r="B577" s="172" t="s">
        <v>470</v>
      </c>
      <c r="C577" s="177"/>
      <c r="D577" s="332"/>
      <c r="E577" s="287">
        <f>SUM(E576:E576)</f>
        <v>3451</v>
      </c>
      <c r="F577" s="332"/>
      <c r="G577" s="287">
        <f>SUM(G576)</f>
        <v>30769.64</v>
      </c>
      <c r="H577" s="332"/>
      <c r="I577" s="287">
        <f>SUM(I576)</f>
        <v>28048.86</v>
      </c>
      <c r="J577" s="332"/>
      <c r="K577" s="287">
        <f>SUM(K576)</f>
        <v>28048.86</v>
      </c>
      <c r="L577" s="332"/>
      <c r="M577" s="287">
        <f>SUM(M576)</f>
        <v>82758.350000000006</v>
      </c>
      <c r="N577" s="287">
        <f t="shared" ref="N577:S577" si="74">SUM(N562:N576)</f>
        <v>0</v>
      </c>
      <c r="O577" s="285">
        <f t="shared" si="74"/>
        <v>133967.15999999997</v>
      </c>
      <c r="P577" s="333">
        <f>SUM(P562:P576)</f>
        <v>52695.150000000009</v>
      </c>
      <c r="Q577" s="333">
        <f t="shared" si="74"/>
        <v>54878</v>
      </c>
      <c r="R577" s="242">
        <f t="shared" si="74"/>
        <v>0</v>
      </c>
      <c r="S577" s="242">
        <f t="shared" si="74"/>
        <v>54941</v>
      </c>
      <c r="T577" s="399"/>
      <c r="U577" s="242">
        <f>SUM(U562:U576)</f>
        <v>57969</v>
      </c>
      <c r="V577" s="384">
        <f t="shared" si="73"/>
        <v>5.6324938955501294E-2</v>
      </c>
      <c r="W577" s="180"/>
      <c r="X577" s="160"/>
    </row>
    <row r="578" spans="1:60" s="188" customFormat="1" ht="15.75" hidden="1">
      <c r="A578" s="160"/>
      <c r="B578" s="172"/>
      <c r="C578" s="177"/>
      <c r="D578" s="179"/>
      <c r="E578" s="391"/>
      <c r="F578" s="179"/>
      <c r="G578" s="193"/>
      <c r="H578" s="253"/>
      <c r="I578" s="193"/>
      <c r="J578" s="253"/>
      <c r="K578" s="193"/>
      <c r="L578" s="253"/>
      <c r="M578" s="193"/>
      <c r="N578" s="193"/>
      <c r="O578" s="292"/>
      <c r="P578" s="292"/>
      <c r="Q578" s="165"/>
      <c r="R578" s="253"/>
      <c r="S578" s="165"/>
      <c r="T578" s="253"/>
      <c r="U578" s="165"/>
      <c r="V578" s="181"/>
      <c r="W578" s="180"/>
      <c r="X578" s="160"/>
    </row>
    <row r="579" spans="1:60" s="188" customFormat="1" ht="15.75" hidden="1">
      <c r="A579" s="423" t="s">
        <v>1015</v>
      </c>
      <c r="B579" s="423"/>
      <c r="C579" s="423"/>
      <c r="D579" s="165"/>
      <c r="E579" s="165"/>
      <c r="F579" s="165"/>
      <c r="G579" s="165"/>
      <c r="H579" s="165"/>
      <c r="I579" s="165"/>
      <c r="J579" s="165"/>
      <c r="K579" s="165"/>
      <c r="L579" s="165"/>
      <c r="M579" s="165"/>
      <c r="N579" s="165"/>
      <c r="O579" s="162"/>
      <c r="P579" s="162"/>
      <c r="Q579" s="165"/>
      <c r="R579" s="253"/>
      <c r="S579" s="165"/>
      <c r="T579" s="165"/>
      <c r="U579" s="165"/>
      <c r="V579" s="181"/>
      <c r="W579" s="180"/>
      <c r="X579" s="160"/>
    </row>
    <row r="580" spans="1:60" s="188" customFormat="1" ht="15.75" hidden="1">
      <c r="A580" s="160" t="s">
        <v>1016</v>
      </c>
      <c r="B580" s="259" t="s">
        <v>593</v>
      </c>
      <c r="D580" s="193"/>
      <c r="E580" s="165">
        <v>3451</v>
      </c>
      <c r="F580" s="193"/>
      <c r="G580" s="165">
        <v>30769.64</v>
      </c>
      <c r="H580" s="193"/>
      <c r="I580" s="165">
        <v>28048.86</v>
      </c>
      <c r="J580" s="193"/>
      <c r="K580" s="165">
        <v>28048.86</v>
      </c>
      <c r="L580" s="193"/>
      <c r="M580" s="165">
        <v>82758.350000000006</v>
      </c>
      <c r="N580" s="165">
        <v>0</v>
      </c>
      <c r="O580" s="162">
        <v>36246.79</v>
      </c>
      <c r="P580" s="162">
        <v>0</v>
      </c>
      <c r="Q580" s="165">
        <v>0</v>
      </c>
      <c r="R580" s="165"/>
      <c r="S580" s="165">
        <v>0</v>
      </c>
      <c r="T580" s="193"/>
      <c r="U580" s="165">
        <v>0</v>
      </c>
      <c r="V580" s="181" t="e">
        <f t="shared" ref="V580:V588" si="75">(U580-Q580)/Q580</f>
        <v>#DIV/0!</v>
      </c>
      <c r="W580" s="180"/>
      <c r="X580" s="160"/>
    </row>
    <row r="581" spans="1:60" s="188" customFormat="1" ht="15.75" hidden="1">
      <c r="A581" s="160" t="s">
        <v>1040</v>
      </c>
      <c r="B581" s="259" t="s">
        <v>280</v>
      </c>
      <c r="D581" s="193"/>
      <c r="E581" s="165"/>
      <c r="F581" s="193"/>
      <c r="G581" s="165"/>
      <c r="H581" s="193"/>
      <c r="I581" s="165"/>
      <c r="J581" s="193"/>
      <c r="K581" s="165"/>
      <c r="L581" s="193"/>
      <c r="M581" s="165"/>
      <c r="N581" s="165">
        <v>0</v>
      </c>
      <c r="O581" s="162">
        <v>3700.69</v>
      </c>
      <c r="P581" s="162">
        <v>0</v>
      </c>
      <c r="Q581" s="165">
        <v>0</v>
      </c>
      <c r="R581" s="165"/>
      <c r="S581" s="165">
        <v>0</v>
      </c>
      <c r="T581" s="193"/>
      <c r="U581" s="165">
        <v>0</v>
      </c>
      <c r="V581" s="181" t="e">
        <f t="shared" si="75"/>
        <v>#DIV/0!</v>
      </c>
      <c r="W581" s="180"/>
      <c r="X581" s="160"/>
    </row>
    <row r="582" spans="1:60" s="188" customFormat="1" ht="15.75" hidden="1">
      <c r="A582" s="160" t="s">
        <v>1041</v>
      </c>
      <c r="B582" s="259" t="s">
        <v>182</v>
      </c>
      <c r="D582" s="193"/>
      <c r="E582" s="165"/>
      <c r="F582" s="193"/>
      <c r="G582" s="165"/>
      <c r="H582" s="193"/>
      <c r="I582" s="165"/>
      <c r="J582" s="193"/>
      <c r="K582" s="165"/>
      <c r="L582" s="193"/>
      <c r="M582" s="165"/>
      <c r="N582" s="165">
        <v>0</v>
      </c>
      <c r="O582" s="162">
        <v>2465.13</v>
      </c>
      <c r="P582" s="162">
        <v>0</v>
      </c>
      <c r="Q582" s="165">
        <v>0</v>
      </c>
      <c r="R582" s="165"/>
      <c r="S582" s="165">
        <v>0</v>
      </c>
      <c r="T582" s="193"/>
      <c r="U582" s="165">
        <v>0</v>
      </c>
      <c r="V582" s="181" t="e">
        <f t="shared" si="75"/>
        <v>#DIV/0!</v>
      </c>
      <c r="W582" s="180">
        <f>S589-Q589</f>
        <v>0</v>
      </c>
      <c r="X582" s="160"/>
    </row>
    <row r="583" spans="1:60" s="188" customFormat="1" ht="15.75" hidden="1">
      <c r="A583" s="160" t="s">
        <v>1042</v>
      </c>
      <c r="B583" s="259" t="s">
        <v>952</v>
      </c>
      <c r="D583" s="193"/>
      <c r="E583" s="165"/>
      <c r="F583" s="193"/>
      <c r="G583" s="165"/>
      <c r="H583" s="193"/>
      <c r="I583" s="165"/>
      <c r="J583" s="193"/>
      <c r="K583" s="165"/>
      <c r="L583" s="193"/>
      <c r="M583" s="165"/>
      <c r="N583" s="165">
        <v>0</v>
      </c>
      <c r="O583" s="162">
        <v>576.52</v>
      </c>
      <c r="P583" s="162">
        <v>0</v>
      </c>
      <c r="Q583" s="165">
        <v>0</v>
      </c>
      <c r="R583" s="165"/>
      <c r="S583" s="165">
        <v>0</v>
      </c>
      <c r="T583" s="193"/>
      <c r="U583" s="165">
        <v>0</v>
      </c>
      <c r="V583" s="181" t="e">
        <f t="shared" si="75"/>
        <v>#DIV/0!</v>
      </c>
      <c r="W583" s="180">
        <f>S590-Q590</f>
        <v>0</v>
      </c>
      <c r="X583" s="160"/>
    </row>
    <row r="584" spans="1:60" s="188" customFormat="1" ht="15.75" hidden="1">
      <c r="A584" s="160" t="s">
        <v>1043</v>
      </c>
      <c r="B584" s="259" t="s">
        <v>598</v>
      </c>
      <c r="D584" s="193"/>
      <c r="E584" s="165"/>
      <c r="F584" s="193"/>
      <c r="G584" s="165"/>
      <c r="H584" s="193"/>
      <c r="I584" s="165"/>
      <c r="J584" s="193"/>
      <c r="K584" s="165"/>
      <c r="L584" s="193"/>
      <c r="M584" s="165"/>
      <c r="N584" s="165">
        <v>0</v>
      </c>
      <c r="O584" s="162">
        <v>5222.6400000000003</v>
      </c>
      <c r="P584" s="162">
        <v>0</v>
      </c>
      <c r="Q584" s="165">
        <v>0</v>
      </c>
      <c r="R584" s="165"/>
      <c r="S584" s="165">
        <v>0</v>
      </c>
      <c r="T584" s="193"/>
      <c r="U584" s="165">
        <v>0</v>
      </c>
      <c r="V584" s="181" t="e">
        <f t="shared" si="75"/>
        <v>#DIV/0!</v>
      </c>
      <c r="W584" s="192">
        <f>S591-Q591</f>
        <v>0</v>
      </c>
      <c r="X584" s="160"/>
    </row>
    <row r="585" spans="1:60" s="188" customFormat="1" ht="15.75" hidden="1">
      <c r="A585" s="160" t="s">
        <v>1078</v>
      </c>
      <c r="B585" s="259" t="s">
        <v>1011</v>
      </c>
      <c r="D585" s="193"/>
      <c r="E585" s="165"/>
      <c r="F585" s="193"/>
      <c r="G585" s="165"/>
      <c r="H585" s="193"/>
      <c r="I585" s="165"/>
      <c r="J585" s="193"/>
      <c r="K585" s="165"/>
      <c r="L585" s="193"/>
      <c r="M585" s="165"/>
      <c r="N585" s="165">
        <v>0</v>
      </c>
      <c r="O585" s="162">
        <v>193.56</v>
      </c>
      <c r="P585" s="162">
        <v>0</v>
      </c>
      <c r="Q585" s="165">
        <v>0</v>
      </c>
      <c r="R585" s="165"/>
      <c r="S585" s="165">
        <v>0</v>
      </c>
      <c r="T585" s="193"/>
      <c r="U585" s="165">
        <v>0</v>
      </c>
      <c r="V585" s="181" t="e">
        <f t="shared" si="75"/>
        <v>#DIV/0!</v>
      </c>
      <c r="W585" s="180"/>
      <c r="X585" s="160"/>
    </row>
    <row r="586" spans="1:60" s="188" customFormat="1" ht="15.75" hidden="1">
      <c r="A586" s="160" t="s">
        <v>1044</v>
      </c>
      <c r="B586" s="259" t="s">
        <v>602</v>
      </c>
      <c r="D586" s="193"/>
      <c r="E586" s="165"/>
      <c r="F586" s="193"/>
      <c r="G586" s="165"/>
      <c r="H586" s="193"/>
      <c r="I586" s="165"/>
      <c r="J586" s="193"/>
      <c r="K586" s="165"/>
      <c r="L586" s="193"/>
      <c r="M586" s="165"/>
      <c r="N586" s="165">
        <v>0</v>
      </c>
      <c r="O586" s="162">
        <v>487.99</v>
      </c>
      <c r="P586" s="162">
        <v>0</v>
      </c>
      <c r="Q586" s="165">
        <v>0</v>
      </c>
      <c r="R586" s="165"/>
      <c r="S586" s="165">
        <v>0</v>
      </c>
      <c r="T586" s="193"/>
      <c r="U586" s="165">
        <v>0</v>
      </c>
      <c r="V586" s="181" t="e">
        <f t="shared" si="75"/>
        <v>#DIV/0!</v>
      </c>
      <c r="W586" s="180"/>
      <c r="X586" s="160"/>
    </row>
    <row r="587" spans="1:60" s="188" customFormat="1" ht="15.75" hidden="1">
      <c r="A587" s="160" t="s">
        <v>1045</v>
      </c>
      <c r="B587" s="259" t="s">
        <v>604</v>
      </c>
      <c r="D587" s="193"/>
      <c r="E587" s="165"/>
      <c r="F587" s="193"/>
      <c r="G587" s="165"/>
      <c r="H587" s="193"/>
      <c r="I587" s="165"/>
      <c r="J587" s="193"/>
      <c r="K587" s="165"/>
      <c r="L587" s="193"/>
      <c r="M587" s="165"/>
      <c r="N587" s="165">
        <v>0</v>
      </c>
      <c r="O587" s="162">
        <v>897.2</v>
      </c>
      <c r="P587" s="162">
        <v>0</v>
      </c>
      <c r="Q587" s="165">
        <v>0</v>
      </c>
      <c r="R587" s="165"/>
      <c r="S587" s="165">
        <v>0</v>
      </c>
      <c r="T587" s="193"/>
      <c r="U587" s="165">
        <v>0</v>
      </c>
      <c r="V587" s="181" t="e">
        <f t="shared" si="75"/>
        <v>#DIV/0!</v>
      </c>
      <c r="W587" s="180"/>
      <c r="X587" s="160"/>
    </row>
    <row r="588" spans="1:60" s="188" customFormat="1" ht="15.75" hidden="1">
      <c r="A588" s="160" t="s">
        <v>1046</v>
      </c>
      <c r="B588" s="259" t="s">
        <v>392</v>
      </c>
      <c r="D588" s="193"/>
      <c r="E588" s="165"/>
      <c r="F588" s="193"/>
      <c r="G588" s="165"/>
      <c r="H588" s="193"/>
      <c r="I588" s="165"/>
      <c r="J588" s="193"/>
      <c r="K588" s="165"/>
      <c r="L588" s="193"/>
      <c r="M588" s="165"/>
      <c r="N588" s="165">
        <v>0</v>
      </c>
      <c r="O588" s="162">
        <v>57.6</v>
      </c>
      <c r="P588" s="162">
        <v>0</v>
      </c>
      <c r="Q588" s="165">
        <v>0</v>
      </c>
      <c r="R588" s="165"/>
      <c r="S588" s="165">
        <v>0</v>
      </c>
      <c r="T588" s="193"/>
      <c r="U588" s="165">
        <v>0</v>
      </c>
      <c r="V588" s="181" t="e">
        <f t="shared" si="75"/>
        <v>#DIV/0!</v>
      </c>
      <c r="W588" s="180">
        <f>S558-Q558</f>
        <v>0</v>
      </c>
      <c r="X588" s="160"/>
    </row>
    <row r="589" spans="1:60" s="188" customFormat="1" ht="15.75" hidden="1">
      <c r="A589" s="160" t="s">
        <v>1094</v>
      </c>
      <c r="B589" s="259" t="s">
        <v>72</v>
      </c>
      <c r="D589" s="193"/>
      <c r="E589" s="165">
        <v>3451</v>
      </c>
      <c r="F589" s="193"/>
      <c r="G589" s="165">
        <v>30769.64</v>
      </c>
      <c r="H589" s="193"/>
      <c r="I589" s="165">
        <v>28048.86</v>
      </c>
      <c r="J589" s="193"/>
      <c r="K589" s="165">
        <v>28048.86</v>
      </c>
      <c r="L589" s="193"/>
      <c r="M589" s="165">
        <v>82758.350000000006</v>
      </c>
      <c r="N589" s="165">
        <v>0</v>
      </c>
      <c r="O589" s="162"/>
      <c r="P589" s="162">
        <v>0</v>
      </c>
      <c r="Q589" s="165">
        <v>0</v>
      </c>
      <c r="R589" s="165"/>
      <c r="S589" s="165">
        <v>0</v>
      </c>
      <c r="T589" s="193"/>
      <c r="U589" s="165">
        <v>0</v>
      </c>
      <c r="V589" s="181">
        <v>0</v>
      </c>
      <c r="W589" s="192">
        <f>S559-Q559</f>
        <v>0</v>
      </c>
      <c r="X589" s="160"/>
    </row>
    <row r="590" spans="1:60" s="188" customFormat="1" ht="15.75" hidden="1">
      <c r="A590" s="160" t="s">
        <v>1095</v>
      </c>
      <c r="B590" s="259" t="s">
        <v>1047</v>
      </c>
      <c r="D590" s="193"/>
      <c r="E590" s="165">
        <v>3451</v>
      </c>
      <c r="F590" s="193"/>
      <c r="G590" s="165">
        <v>30769.64</v>
      </c>
      <c r="H590" s="193"/>
      <c r="I590" s="165">
        <v>28048.86</v>
      </c>
      <c r="J590" s="193"/>
      <c r="K590" s="165">
        <v>28048.86</v>
      </c>
      <c r="L590" s="193"/>
      <c r="M590" s="165">
        <v>82758.350000000006</v>
      </c>
      <c r="N590" s="165">
        <v>0</v>
      </c>
      <c r="O590" s="162"/>
      <c r="P590" s="162">
        <v>0</v>
      </c>
      <c r="Q590" s="165">
        <v>0</v>
      </c>
      <c r="R590" s="165"/>
      <c r="S590" s="165">
        <v>0</v>
      </c>
      <c r="T590" s="193"/>
      <c r="U590" s="165">
        <v>0</v>
      </c>
      <c r="V590" s="181">
        <v>0</v>
      </c>
      <c r="W590" s="180"/>
      <c r="X590" s="160"/>
    </row>
    <row r="591" spans="1:60" s="188" customFormat="1" ht="15.75" hidden="1">
      <c r="A591" s="160"/>
      <c r="B591" s="172" t="s">
        <v>470</v>
      </c>
      <c r="C591" s="177"/>
      <c r="D591" s="332"/>
      <c r="E591" s="287" t="e">
        <f>SUM(#REF!)</f>
        <v>#REF!</v>
      </c>
      <c r="F591" s="332"/>
      <c r="G591" s="287" t="e">
        <f>SUM(#REF!)</f>
        <v>#REF!</v>
      </c>
      <c r="H591" s="332"/>
      <c r="I591" s="287" t="e">
        <f>SUM(#REF!)</f>
        <v>#REF!</v>
      </c>
      <c r="J591" s="332"/>
      <c r="K591" s="287" t="e">
        <f>SUM(#REF!)</f>
        <v>#REF!</v>
      </c>
      <c r="L591" s="332"/>
      <c r="M591" s="287" t="e">
        <f>SUM(#REF!)</f>
        <v>#REF!</v>
      </c>
      <c r="N591" s="287">
        <f t="shared" ref="N591:S591" si="76">SUM(N580:N590)</f>
        <v>0</v>
      </c>
      <c r="O591" s="285">
        <f t="shared" si="76"/>
        <v>49848.119999999988</v>
      </c>
      <c r="P591" s="333">
        <f t="shared" si="76"/>
        <v>0</v>
      </c>
      <c r="Q591" s="333">
        <f t="shared" si="76"/>
        <v>0</v>
      </c>
      <c r="R591" s="242">
        <f t="shared" si="76"/>
        <v>0</v>
      </c>
      <c r="S591" s="242">
        <f t="shared" si="76"/>
        <v>0</v>
      </c>
      <c r="T591" s="399"/>
      <c r="U591" s="242">
        <f>SUM(U580:U590)</f>
        <v>0</v>
      </c>
      <c r="V591" s="384" t="e">
        <f>(U591-Q591)/Q591</f>
        <v>#DIV/0!</v>
      </c>
      <c r="W591" s="180"/>
      <c r="Y591" s="160"/>
      <c r="Z591" s="160"/>
      <c r="AA591" s="160"/>
      <c r="AB591" s="160"/>
      <c r="AC591" s="160"/>
      <c r="AD591" s="160"/>
      <c r="AE591" s="160"/>
      <c r="AF591" s="160"/>
      <c r="AG591" s="160"/>
      <c r="AH591" s="160"/>
      <c r="AI591" s="160"/>
      <c r="AJ591" s="160"/>
      <c r="AK591" s="160"/>
      <c r="AL591" s="160"/>
      <c r="AM591" s="160"/>
      <c r="AN591" s="160"/>
      <c r="AO591" s="160"/>
      <c r="AP591" s="160"/>
      <c r="AQ591" s="160"/>
      <c r="AR591" s="160"/>
      <c r="AS591" s="160"/>
      <c r="AT591" s="160"/>
      <c r="AU591" s="160"/>
      <c r="AV591" s="160"/>
      <c r="AW591" s="160"/>
      <c r="AX591" s="160"/>
      <c r="AY591" s="160"/>
      <c r="AZ591" s="160"/>
      <c r="BA591" s="160"/>
      <c r="BB591" s="160"/>
      <c r="BC591" s="160"/>
      <c r="BD591" s="160"/>
      <c r="BE591" s="160"/>
      <c r="BF591" s="160"/>
      <c r="BG591" s="160"/>
      <c r="BH591" s="160"/>
    </row>
    <row r="592" spans="1:60" s="188" customFormat="1" ht="15.75">
      <c r="A592" s="160"/>
      <c r="B592" s="172"/>
      <c r="C592" s="177"/>
      <c r="D592" s="165"/>
      <c r="E592" s="193"/>
      <c r="F592" s="165"/>
      <c r="G592" s="193"/>
      <c r="H592" s="165"/>
      <c r="I592" s="193"/>
      <c r="J592" s="165"/>
      <c r="K592" s="193"/>
      <c r="L592" s="165"/>
      <c r="M592" s="193"/>
      <c r="N592" s="193"/>
      <c r="O592" s="292"/>
      <c r="P592" s="292"/>
      <c r="Q592" s="193"/>
      <c r="R592" s="193"/>
      <c r="S592" s="193"/>
      <c r="T592" s="165"/>
      <c r="U592" s="193"/>
      <c r="V592" s="394"/>
      <c r="W592" s="192">
        <f>S594-Q594</f>
        <v>404508.45999999903</v>
      </c>
    </row>
    <row r="593" spans="1:22" ht="15.75">
      <c r="A593" s="188"/>
      <c r="B593" s="172"/>
      <c r="C593" s="177"/>
      <c r="D593" s="165"/>
      <c r="E593" s="193"/>
      <c r="F593" s="165"/>
      <c r="G593" s="193"/>
      <c r="H593" s="165"/>
      <c r="I593" s="193"/>
      <c r="J593" s="165"/>
      <c r="K593" s="193"/>
      <c r="L593" s="165"/>
      <c r="M593" s="193"/>
      <c r="N593" s="193"/>
      <c r="O593" s="292"/>
      <c r="P593" s="292"/>
      <c r="R593" s="253"/>
      <c r="S593" s="253"/>
      <c r="T593" s="165"/>
    </row>
    <row r="594" spans="1:22" ht="16.5" thickBot="1">
      <c r="A594" s="188" t="s">
        <v>1353</v>
      </c>
      <c r="B594" s="188"/>
      <c r="C594" s="292"/>
      <c r="D594" s="403"/>
      <c r="E594" s="403" t="e">
        <f>SUM(E146:E593)/2</f>
        <v>#REF!</v>
      </c>
      <c r="F594" s="403"/>
      <c r="G594" s="403" t="e">
        <f>SUM(G146:G593)/2</f>
        <v>#REF!</v>
      </c>
      <c r="H594" s="403"/>
      <c r="I594" s="403" t="e">
        <f>SUM(I146:I593)/2</f>
        <v>#REF!</v>
      </c>
      <c r="J594" s="403"/>
      <c r="K594" s="403" t="e">
        <f>SUM(K146:K593)/2</f>
        <v>#REF!</v>
      </c>
      <c r="L594" s="403"/>
      <c r="M594" s="403" t="e">
        <f t="shared" ref="M594:S594" si="77">SUM(M146:M593)/2</f>
        <v>#REF!</v>
      </c>
      <c r="N594" s="403">
        <f t="shared" si="77"/>
        <v>4144201.7350000013</v>
      </c>
      <c r="O594" s="404">
        <f t="shared" si="77"/>
        <v>3563445.409999995</v>
      </c>
      <c r="P594" s="405">
        <f t="shared" si="77"/>
        <v>5044765.8999999994</v>
      </c>
      <c r="Q594" s="405">
        <f t="shared" si="77"/>
        <v>4926297.78</v>
      </c>
      <c r="R594" s="406">
        <f t="shared" si="77"/>
        <v>0</v>
      </c>
      <c r="S594" s="406">
        <f t="shared" si="77"/>
        <v>5330806.2399999993</v>
      </c>
      <c r="T594" s="406"/>
      <c r="U594" s="406">
        <f>SUM(U146:U593)/2</f>
        <v>5432300</v>
      </c>
      <c r="V594" s="376">
        <f>(U594-Q594)/Q594</f>
        <v>0.1027145013552144</v>
      </c>
    </row>
    <row r="595" spans="1:22" ht="15.75" thickTop="1">
      <c r="R595" s="199"/>
      <c r="S595" s="200"/>
    </row>
    <row r="596" spans="1:22">
      <c r="R596" s="199"/>
      <c r="S596" s="200"/>
    </row>
    <row r="597" spans="1:22">
      <c r="R597" s="199"/>
      <c r="S597" s="200"/>
    </row>
    <row r="598" spans="1:22">
      <c r="R598" s="199"/>
      <c r="S598" s="200"/>
    </row>
    <row r="599" spans="1:22">
      <c r="R599" s="199"/>
      <c r="S599" s="200"/>
    </row>
    <row r="600" spans="1:22">
      <c r="R600" s="199"/>
      <c r="S600" s="200"/>
    </row>
  </sheetData>
  <sortState ref="A543:U547">
    <sortCondition ref="A543:A547"/>
  </sortState>
  <mergeCells count="29">
    <mergeCell ref="A394:C394"/>
    <mergeCell ref="A238:C238"/>
    <mergeCell ref="A320:C320"/>
    <mergeCell ref="A561:C561"/>
    <mergeCell ref="A579:C579"/>
    <mergeCell ref="A557:C557"/>
    <mergeCell ref="A388:C388"/>
    <mergeCell ref="A553:C553"/>
    <mergeCell ref="A209:C209"/>
    <mergeCell ref="A232:C232"/>
    <mergeCell ref="A545:C545"/>
    <mergeCell ref="A31:B31"/>
    <mergeCell ref="A143:B143"/>
    <mergeCell ref="A146:C146"/>
    <mergeCell ref="A184:C184"/>
    <mergeCell ref="A214:C214"/>
    <mergeCell ref="A475:C475"/>
    <mergeCell ref="A504:C504"/>
    <mergeCell ref="A525:C525"/>
    <mergeCell ref="A378:C378"/>
    <mergeCell ref="A340:C340"/>
    <mergeCell ref="A426:C426"/>
    <mergeCell ref="A369:C369"/>
    <mergeCell ref="A332:C332"/>
    <mergeCell ref="A1:V1"/>
    <mergeCell ref="A2:V2"/>
    <mergeCell ref="A3:V3"/>
    <mergeCell ref="A7:B7"/>
    <mergeCell ref="A18:B18"/>
  </mergeCells>
  <phoneticPr fontId="0" type="noConversion"/>
  <printOptions horizontalCentered="1"/>
  <pageMargins left="0.7" right="0.7" top="0.75" bottom="0.75" header="0.3" footer="0.3"/>
  <pageSetup scale="52" fitToHeight="0" orientation="portrait" useFirstPageNumber="1" r:id="rId1"/>
  <headerFooter alignWithMargins="0"/>
  <rowBreaks count="5" manualBreakCount="5">
    <brk id="142" max="16383" man="1"/>
    <brk id="213" max="16383" man="1"/>
    <brk id="330" max="23" man="1"/>
    <brk id="424" max="23" man="1"/>
    <brk id="523" max="23" man="1"/>
  </rowBreaks>
  <ignoredErrors>
    <ignoredError sqref="S76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511"/>
  <sheetViews>
    <sheetView view="pageBreakPreview" topLeftCell="A268" zoomScaleNormal="100" zoomScaleSheetLayoutView="100" workbookViewId="0">
      <selection activeCell="C300" sqref="C300"/>
    </sheetView>
  </sheetViews>
  <sheetFormatPr defaultColWidth="9.140625" defaultRowHeight="15.75"/>
  <cols>
    <col min="1" max="1" width="13.7109375" style="93" customWidth="1"/>
    <col min="2" max="2" width="2.5703125" style="93" customWidth="1"/>
    <col min="3" max="3" width="64" style="93" bestFit="1" customWidth="1"/>
    <col min="4" max="4" width="2.7109375" style="93" customWidth="1"/>
    <col min="5" max="5" width="22.85546875" style="94" hidden="1" customWidth="1"/>
    <col min="6" max="6" width="9.140625" style="94" hidden="1" customWidth="1"/>
    <col min="7" max="7" width="11" style="95" hidden="1" customWidth="1"/>
    <col min="8" max="8" width="2.5703125" style="95" hidden="1" customWidth="1"/>
    <col min="9" max="9" width="22.7109375" style="97" hidden="1" customWidth="1"/>
    <col min="10" max="10" width="2.7109375" style="131" hidden="1" customWidth="1"/>
    <col min="11" max="11" width="22.7109375" style="97" hidden="1" customWidth="1"/>
    <col min="12" max="12" width="2.7109375" style="131" hidden="1" customWidth="1"/>
    <col min="13" max="13" width="10.28515625" style="97" hidden="1" customWidth="1"/>
    <col min="14" max="14" width="16.42578125" style="97" hidden="1" customWidth="1"/>
    <col min="15" max="15" width="2.7109375" style="131" hidden="1" customWidth="1"/>
    <col min="16" max="16" width="16.42578125" style="97" hidden="1" customWidth="1"/>
    <col min="17" max="17" width="2.7109375" style="131" hidden="1" customWidth="1"/>
    <col min="18" max="18" width="20.140625" style="97" bestFit="1" customWidth="1"/>
    <col min="19" max="19" width="2.7109375" style="131" customWidth="1"/>
    <col min="20" max="20" width="16.7109375" style="97" customWidth="1"/>
    <col min="21" max="21" width="16.7109375" style="97" hidden="1" customWidth="1"/>
    <col min="22" max="22" width="16.7109375" style="97" customWidth="1"/>
    <col min="23" max="23" width="5.140625" style="131" hidden="1" customWidth="1"/>
    <col min="24" max="24" width="2.7109375" style="131" customWidth="1"/>
    <col min="25" max="25" width="17.7109375" style="131" customWidth="1"/>
    <col min="26" max="26" width="14.85546875" style="132" hidden="1" customWidth="1"/>
    <col min="27" max="27" width="13.7109375" style="92" hidden="1" customWidth="1"/>
    <col min="28" max="28" width="21.42578125" style="94" customWidth="1"/>
    <col min="29" max="29" width="10.42578125" style="93" bestFit="1" customWidth="1"/>
    <col min="30" max="61" width="9.140625" style="93"/>
    <col min="62" max="62" width="11.28515625" style="93" bestFit="1" customWidth="1"/>
    <col min="63" max="16384" width="9.140625" style="93"/>
  </cols>
  <sheetData>
    <row r="1" spans="1:28" s="113" customFormat="1" ht="18.75">
      <c r="A1" s="421" t="s">
        <v>48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90"/>
      <c r="AB1" s="112"/>
    </row>
    <row r="2" spans="1:28" s="113" customFormat="1" ht="18.75">
      <c r="A2" s="421" t="s">
        <v>1332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90"/>
      <c r="AB2" s="112"/>
    </row>
    <row r="3" spans="1:28" s="113" customFormat="1" ht="18.75">
      <c r="A3" s="421" t="s">
        <v>1513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90"/>
      <c r="AB3" s="112"/>
    </row>
    <row r="4" spans="1:28" ht="17.25" thickBot="1">
      <c r="A4" s="154"/>
      <c r="B4" s="201"/>
      <c r="C4" s="154"/>
      <c r="D4" s="154"/>
      <c r="E4" s="202"/>
      <c r="F4" s="202"/>
      <c r="G4" s="204"/>
      <c r="H4" s="204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6"/>
      <c r="Z4" s="207"/>
      <c r="AA4" s="100"/>
    </row>
    <row r="5" spans="1:28" ht="18" thickTop="1" thickBot="1">
      <c r="A5" s="161"/>
      <c r="B5" s="177"/>
      <c r="C5" s="178"/>
      <c r="D5" s="161"/>
      <c r="E5" s="275" t="s">
        <v>84</v>
      </c>
      <c r="F5" s="162"/>
      <c r="G5" s="163"/>
      <c r="H5" s="163"/>
      <c r="I5" s="176" t="s">
        <v>619</v>
      </c>
      <c r="J5" s="168"/>
      <c r="K5" s="176" t="s">
        <v>705</v>
      </c>
      <c r="L5" s="168"/>
      <c r="M5" s="176" t="s">
        <v>766</v>
      </c>
      <c r="N5" s="176" t="s">
        <v>931</v>
      </c>
      <c r="O5" s="168"/>
      <c r="P5" s="176" t="s">
        <v>1027</v>
      </c>
      <c r="Q5" s="168"/>
      <c r="R5" s="413" t="s">
        <v>1385</v>
      </c>
      <c r="S5" s="276"/>
      <c r="T5" s="427" t="s">
        <v>1415</v>
      </c>
      <c r="U5" s="427"/>
      <c r="V5" s="427"/>
      <c r="W5" s="276"/>
      <c r="X5" s="276"/>
      <c r="Y5" s="426" t="s">
        <v>1515</v>
      </c>
      <c r="Z5" s="426"/>
      <c r="AA5" s="100"/>
    </row>
    <row r="6" spans="1:28" ht="21.75" thickTop="1" thickBot="1">
      <c r="A6" s="161"/>
      <c r="B6" s="177"/>
      <c r="C6" s="161"/>
      <c r="D6" s="161"/>
      <c r="E6" s="250" t="s">
        <v>93</v>
      </c>
      <c r="F6" s="162"/>
      <c r="G6" s="163"/>
      <c r="H6" s="163"/>
      <c r="I6" s="213" t="s">
        <v>354</v>
      </c>
      <c r="J6" s="168"/>
      <c r="K6" s="213" t="s">
        <v>354</v>
      </c>
      <c r="L6" s="168"/>
      <c r="M6" s="213" t="s">
        <v>354</v>
      </c>
      <c r="N6" s="277" t="s">
        <v>354</v>
      </c>
      <c r="O6" s="168"/>
      <c r="P6" s="277" t="s">
        <v>354</v>
      </c>
      <c r="Q6" s="168"/>
      <c r="R6" s="278" t="s">
        <v>354</v>
      </c>
      <c r="S6" s="276"/>
      <c r="T6" s="278" t="s">
        <v>459</v>
      </c>
      <c r="U6" s="278" t="s">
        <v>1149</v>
      </c>
      <c r="V6" s="278" t="s">
        <v>722</v>
      </c>
      <c r="W6" s="276"/>
      <c r="X6" s="276"/>
      <c r="Y6" s="279" t="s">
        <v>1242</v>
      </c>
      <c r="Z6" s="278" t="s">
        <v>725</v>
      </c>
      <c r="AA6" s="100"/>
    </row>
    <row r="7" spans="1:28" ht="16.5" thickTop="1">
      <c r="A7" s="424" t="s">
        <v>436</v>
      </c>
      <c r="B7" s="424"/>
      <c r="C7" s="424"/>
      <c r="D7" s="161"/>
      <c r="E7" s="162"/>
      <c r="F7" s="162"/>
      <c r="G7" s="163"/>
      <c r="H7" s="163"/>
      <c r="I7" s="165"/>
      <c r="J7" s="168"/>
      <c r="K7" s="165"/>
      <c r="L7" s="168"/>
      <c r="M7" s="165"/>
      <c r="N7" s="165"/>
      <c r="O7" s="168"/>
      <c r="P7" s="165"/>
      <c r="Q7" s="168"/>
      <c r="R7" s="165"/>
      <c r="S7" s="168"/>
      <c r="T7" s="165"/>
      <c r="U7" s="168"/>
      <c r="V7" s="168"/>
      <c r="W7" s="168"/>
      <c r="X7" s="168"/>
      <c r="Y7" s="280"/>
      <c r="Z7" s="281"/>
      <c r="AA7" s="93"/>
      <c r="AB7" s="93"/>
    </row>
    <row r="8" spans="1:28" ht="16.5" thickBot="1">
      <c r="A8" s="161"/>
      <c r="B8" s="425" t="s">
        <v>276</v>
      </c>
      <c r="C8" s="425"/>
      <c r="D8" s="161"/>
      <c r="E8" s="162"/>
      <c r="F8" s="162"/>
      <c r="G8" s="163"/>
      <c r="H8" s="163"/>
      <c r="I8" s="165"/>
      <c r="J8" s="168"/>
      <c r="K8" s="165"/>
      <c r="L8" s="168"/>
      <c r="M8" s="165"/>
      <c r="N8" s="165"/>
      <c r="O8" s="168"/>
      <c r="P8" s="165"/>
      <c r="Q8" s="168"/>
      <c r="R8" s="165"/>
      <c r="S8" s="168"/>
      <c r="T8" s="165"/>
      <c r="U8" s="168"/>
      <c r="V8" s="168"/>
      <c r="W8" s="168"/>
      <c r="X8" s="168"/>
      <c r="Y8" s="280"/>
      <c r="Z8" s="281"/>
      <c r="AA8" s="93"/>
      <c r="AB8" s="93"/>
    </row>
    <row r="9" spans="1:28" ht="16.5" thickTop="1">
      <c r="A9" s="161" t="s">
        <v>1500</v>
      </c>
      <c r="B9" s="161"/>
      <c r="C9" s="161" t="s">
        <v>64</v>
      </c>
      <c r="D9" s="161"/>
      <c r="E9" s="162">
        <v>391303</v>
      </c>
      <c r="F9" s="162"/>
      <c r="G9" s="163"/>
      <c r="H9" s="163"/>
      <c r="I9" s="165">
        <v>841697.55</v>
      </c>
      <c r="J9" s="168"/>
      <c r="K9" s="165">
        <v>766117.95</v>
      </c>
      <c r="L9" s="168"/>
      <c r="M9" s="165">
        <v>900007.56</v>
      </c>
      <c r="N9" s="165">
        <v>909307.74</v>
      </c>
      <c r="O9" s="168"/>
      <c r="P9" s="165">
        <v>957422.61</v>
      </c>
      <c r="Q9" s="168"/>
      <c r="R9" s="165">
        <v>1271904.73</v>
      </c>
      <c r="S9" s="168"/>
      <c r="T9" s="165">
        <v>1250000</v>
      </c>
      <c r="U9" s="282"/>
      <c r="V9" s="282">
        <v>1300000</v>
      </c>
      <c r="W9" s="168"/>
      <c r="X9" s="168"/>
      <c r="Y9" s="165">
        <v>1320000</v>
      </c>
      <c r="Z9" s="283">
        <f>(Y9-T9)/T9</f>
        <v>5.6000000000000001E-2</v>
      </c>
      <c r="AA9" s="101">
        <f>V9-T9</f>
        <v>50000</v>
      </c>
      <c r="AB9" s="93"/>
    </row>
    <row r="10" spans="1:28">
      <c r="A10" s="161" t="s">
        <v>1501</v>
      </c>
      <c r="B10" s="161"/>
      <c r="C10" s="161" t="s">
        <v>78</v>
      </c>
      <c r="D10" s="161"/>
      <c r="E10" s="162"/>
      <c r="F10" s="162"/>
      <c r="G10" s="163"/>
      <c r="H10" s="163"/>
      <c r="I10" s="165">
        <v>1400</v>
      </c>
      <c r="J10" s="168"/>
      <c r="K10" s="165">
        <v>3150</v>
      </c>
      <c r="L10" s="168"/>
      <c r="M10" s="165">
        <v>3800</v>
      </c>
      <c r="N10" s="165">
        <v>12200</v>
      </c>
      <c r="O10" s="168"/>
      <c r="P10" s="165">
        <v>15500</v>
      </c>
      <c r="Q10" s="168"/>
      <c r="R10" s="165">
        <v>70450</v>
      </c>
      <c r="S10" s="168"/>
      <c r="T10" s="165">
        <v>9000</v>
      </c>
      <c r="U10" s="282"/>
      <c r="V10" s="282">
        <v>22363.77</v>
      </c>
      <c r="W10" s="168"/>
      <c r="X10" s="168"/>
      <c r="Y10" s="165">
        <v>27550</v>
      </c>
      <c r="Z10" s="283">
        <f t="shared" ref="Z10:Z16" si="0">(Y10-T10)/T10</f>
        <v>2.0611111111111109</v>
      </c>
      <c r="AA10" s="101">
        <f t="shared" ref="AA10:AA17" si="1">V10-T10</f>
        <v>13363.77</v>
      </c>
      <c r="AB10" s="93"/>
    </row>
    <row r="11" spans="1:28">
      <c r="A11" s="161" t="s">
        <v>1502</v>
      </c>
      <c r="B11" s="161"/>
      <c r="C11" s="161" t="s">
        <v>79</v>
      </c>
      <c r="D11" s="161"/>
      <c r="E11" s="162"/>
      <c r="F11" s="162"/>
      <c r="G11" s="163"/>
      <c r="H11" s="163"/>
      <c r="I11" s="165">
        <v>1205</v>
      </c>
      <c r="J11" s="168"/>
      <c r="K11" s="165">
        <v>1750</v>
      </c>
      <c r="L11" s="168"/>
      <c r="M11" s="165">
        <v>2800</v>
      </c>
      <c r="N11" s="165">
        <v>4200</v>
      </c>
      <c r="O11" s="168"/>
      <c r="P11" s="165">
        <v>5950</v>
      </c>
      <c r="Q11" s="168"/>
      <c r="R11" s="165">
        <v>39900</v>
      </c>
      <c r="S11" s="168"/>
      <c r="T11" s="165">
        <v>5000</v>
      </c>
      <c r="U11" s="282"/>
      <c r="V11" s="282">
        <v>20650</v>
      </c>
      <c r="W11" s="168"/>
      <c r="X11" s="168"/>
      <c r="Y11" s="165">
        <v>13775</v>
      </c>
      <c r="Z11" s="283">
        <f t="shared" si="0"/>
        <v>1.7549999999999999</v>
      </c>
      <c r="AA11" s="101">
        <f t="shared" si="1"/>
        <v>15650</v>
      </c>
      <c r="AB11" s="93"/>
    </row>
    <row r="12" spans="1:28">
      <c r="A12" s="161" t="s">
        <v>1503</v>
      </c>
      <c r="B12" s="161"/>
      <c r="C12" s="161" t="s">
        <v>957</v>
      </c>
      <c r="D12" s="161"/>
      <c r="E12" s="162"/>
      <c r="F12" s="162"/>
      <c r="G12" s="163"/>
      <c r="H12" s="163"/>
      <c r="I12" s="165">
        <v>20426</v>
      </c>
      <c r="J12" s="168"/>
      <c r="K12" s="165">
        <v>23725</v>
      </c>
      <c r="L12" s="168"/>
      <c r="M12" s="165">
        <v>19625</v>
      </c>
      <c r="N12" s="165">
        <v>26825</v>
      </c>
      <c r="O12" s="168"/>
      <c r="P12" s="165">
        <v>28525</v>
      </c>
      <c r="Q12" s="168"/>
      <c r="R12" s="165">
        <v>19000</v>
      </c>
      <c r="S12" s="168"/>
      <c r="T12" s="165">
        <v>17000</v>
      </c>
      <c r="U12" s="282"/>
      <c r="V12" s="282">
        <v>17000</v>
      </c>
      <c r="W12" s="168"/>
      <c r="X12" s="168"/>
      <c r="Y12" s="165">
        <v>18500</v>
      </c>
      <c r="Z12" s="283">
        <f t="shared" si="0"/>
        <v>8.8235294117647065E-2</v>
      </c>
      <c r="AA12" s="101">
        <f t="shared" si="1"/>
        <v>0</v>
      </c>
      <c r="AB12" s="93"/>
    </row>
    <row r="13" spans="1:28">
      <c r="A13" s="161" t="s">
        <v>1504</v>
      </c>
      <c r="B13" s="161"/>
      <c r="C13" s="161" t="s">
        <v>81</v>
      </c>
      <c r="D13" s="161"/>
      <c r="E13" s="162">
        <v>33963</v>
      </c>
      <c r="F13" s="162"/>
      <c r="G13" s="163"/>
      <c r="H13" s="163"/>
      <c r="I13" s="165">
        <v>47034.87</v>
      </c>
      <c r="J13" s="168"/>
      <c r="K13" s="165">
        <v>50399.58</v>
      </c>
      <c r="L13" s="168"/>
      <c r="M13" s="165">
        <v>52604.36</v>
      </c>
      <c r="N13" s="165">
        <v>55583.58</v>
      </c>
      <c r="O13" s="168"/>
      <c r="P13" s="165">
        <v>62431.18</v>
      </c>
      <c r="Q13" s="168"/>
      <c r="R13" s="165">
        <v>62530.74</v>
      </c>
      <c r="S13" s="168"/>
      <c r="T13" s="165">
        <v>60000</v>
      </c>
      <c r="U13" s="282"/>
      <c r="V13" s="165">
        <v>60000</v>
      </c>
      <c r="W13" s="168"/>
      <c r="X13" s="168"/>
      <c r="Y13" s="165">
        <v>62000</v>
      </c>
      <c r="Z13" s="283">
        <f t="shared" si="0"/>
        <v>3.3333333333333333E-2</v>
      </c>
      <c r="AA13" s="101">
        <f t="shared" si="1"/>
        <v>0</v>
      </c>
      <c r="AB13" s="93"/>
    </row>
    <row r="14" spans="1:28" hidden="1">
      <c r="A14" s="161" t="s">
        <v>275</v>
      </c>
      <c r="B14" s="161"/>
      <c r="C14" s="161" t="s">
        <v>254</v>
      </c>
      <c r="D14" s="161"/>
      <c r="E14" s="162">
        <v>20630</v>
      </c>
      <c r="F14" s="162"/>
      <c r="G14" s="163"/>
      <c r="H14" s="163"/>
      <c r="I14" s="165">
        <v>600</v>
      </c>
      <c r="J14" s="168"/>
      <c r="K14" s="165">
        <v>3115.08</v>
      </c>
      <c r="L14" s="168"/>
      <c r="M14" s="165">
        <v>200</v>
      </c>
      <c r="N14" s="165">
        <v>0</v>
      </c>
      <c r="O14" s="168"/>
      <c r="P14" s="165">
        <v>1075.92</v>
      </c>
      <c r="Q14" s="168"/>
      <c r="R14" s="165"/>
      <c r="S14" s="168"/>
      <c r="T14" s="165"/>
      <c r="U14" s="282"/>
      <c r="V14" s="282"/>
      <c r="W14" s="168"/>
      <c r="X14" s="168"/>
      <c r="Y14" s="165"/>
      <c r="Z14" s="283">
        <v>0</v>
      </c>
      <c r="AA14" s="101">
        <f t="shared" si="1"/>
        <v>0</v>
      </c>
      <c r="AB14" s="93"/>
    </row>
    <row r="15" spans="1:28">
      <c r="A15" s="161" t="s">
        <v>1505</v>
      </c>
      <c r="B15" s="161"/>
      <c r="C15" s="161" t="s">
        <v>65</v>
      </c>
      <c r="D15" s="161"/>
      <c r="E15" s="162">
        <v>14887</v>
      </c>
      <c r="F15" s="162"/>
      <c r="G15" s="163"/>
      <c r="H15" s="163"/>
      <c r="I15" s="165">
        <v>17157.75</v>
      </c>
      <c r="J15" s="168"/>
      <c r="K15" s="165">
        <v>13636.25</v>
      </c>
      <c r="L15" s="168"/>
      <c r="M15" s="165">
        <v>15449.41</v>
      </c>
      <c r="N15" s="165">
        <v>1767.55</v>
      </c>
      <c r="O15" s="168"/>
      <c r="P15" s="165">
        <v>1223.1199999999999</v>
      </c>
      <c r="Q15" s="168"/>
      <c r="R15" s="165">
        <v>14637.07</v>
      </c>
      <c r="S15" s="168"/>
      <c r="T15" s="165">
        <v>12000</v>
      </c>
      <c r="U15" s="282"/>
      <c r="V15" s="282">
        <v>77000</v>
      </c>
      <c r="W15" s="168"/>
      <c r="X15" s="168"/>
      <c r="Y15" s="165">
        <v>78000</v>
      </c>
      <c r="Z15" s="283">
        <f t="shared" si="0"/>
        <v>5.5</v>
      </c>
      <c r="AA15" s="101">
        <f t="shared" si="1"/>
        <v>65000</v>
      </c>
      <c r="AB15" s="93"/>
    </row>
    <row r="16" spans="1:28">
      <c r="A16" s="161" t="s">
        <v>1506</v>
      </c>
      <c r="B16" s="161"/>
      <c r="C16" s="161" t="s">
        <v>119</v>
      </c>
      <c r="D16" s="161"/>
      <c r="E16" s="162">
        <v>20630</v>
      </c>
      <c r="F16" s="162"/>
      <c r="G16" s="163"/>
      <c r="H16" s="163"/>
      <c r="I16" s="284">
        <v>1040</v>
      </c>
      <c r="J16" s="168"/>
      <c r="K16" s="284">
        <v>1060</v>
      </c>
      <c r="L16" s="168"/>
      <c r="M16" s="284">
        <v>1540</v>
      </c>
      <c r="N16" s="284">
        <v>1520</v>
      </c>
      <c r="O16" s="168"/>
      <c r="P16" s="284">
        <v>1320</v>
      </c>
      <c r="Q16" s="168"/>
      <c r="R16" s="165">
        <v>720</v>
      </c>
      <c r="S16" s="168"/>
      <c r="T16" s="165">
        <v>300</v>
      </c>
      <c r="U16" s="282"/>
      <c r="V16" s="282">
        <v>500</v>
      </c>
      <c r="W16" s="168"/>
      <c r="X16" s="168"/>
      <c r="Y16" s="165">
        <v>500</v>
      </c>
      <c r="Z16" s="283">
        <f t="shared" si="0"/>
        <v>0.66666666666666663</v>
      </c>
      <c r="AA16" s="117">
        <f t="shared" si="1"/>
        <v>200</v>
      </c>
      <c r="AB16" s="93"/>
    </row>
    <row r="17" spans="1:28">
      <c r="A17" s="161" t="s">
        <v>1437</v>
      </c>
      <c r="B17" s="161"/>
      <c r="C17" s="161" t="s">
        <v>1269</v>
      </c>
      <c r="D17" s="161"/>
      <c r="E17" s="162"/>
      <c r="F17" s="162"/>
      <c r="G17" s="163"/>
      <c r="H17" s="163"/>
      <c r="I17" s="165"/>
      <c r="J17" s="168"/>
      <c r="K17" s="165"/>
      <c r="L17" s="168"/>
      <c r="M17" s="165"/>
      <c r="N17" s="165"/>
      <c r="O17" s="168"/>
      <c r="P17" s="165"/>
      <c r="Q17" s="168"/>
      <c r="R17" s="165">
        <v>38812</v>
      </c>
      <c r="S17" s="168"/>
      <c r="T17" s="165">
        <v>0</v>
      </c>
      <c r="U17" s="282"/>
      <c r="V17" s="282">
        <v>0</v>
      </c>
      <c r="W17" s="168"/>
      <c r="X17" s="168"/>
      <c r="Y17" s="165">
        <v>0</v>
      </c>
      <c r="Z17" s="283">
        <v>0</v>
      </c>
      <c r="AA17" s="101">
        <f t="shared" si="1"/>
        <v>0</v>
      </c>
      <c r="AB17" s="93"/>
    </row>
    <row r="18" spans="1:28" s="41" customFormat="1" ht="16.5">
      <c r="A18" s="177"/>
      <c r="B18" s="177" t="s">
        <v>277</v>
      </c>
      <c r="C18" s="177"/>
      <c r="D18" s="177"/>
      <c r="E18" s="285"/>
      <c r="F18" s="285"/>
      <c r="G18" s="286"/>
      <c r="H18" s="286"/>
      <c r="I18" s="287">
        <f>SUM(I9:I16)</f>
        <v>930561.17</v>
      </c>
      <c r="J18" s="288"/>
      <c r="K18" s="287">
        <f>SUM(K9:K16)</f>
        <v>862953.85999999987</v>
      </c>
      <c r="L18" s="288"/>
      <c r="M18" s="287">
        <f>SUM(M9:M16)</f>
        <v>996026.33000000007</v>
      </c>
      <c r="N18" s="287">
        <f>SUM(N9:N16)</f>
        <v>1011403.87</v>
      </c>
      <c r="O18" s="288"/>
      <c r="P18" s="287">
        <f>SUM(P9:P16)</f>
        <v>1073447.83</v>
      </c>
      <c r="Q18" s="288"/>
      <c r="R18" s="242">
        <f>SUM(R9:R17)</f>
        <v>1517954.54</v>
      </c>
      <c r="S18" s="289"/>
      <c r="T18" s="290">
        <f>SUM(T9:T17)</f>
        <v>1353300</v>
      </c>
      <c r="U18" s="242">
        <f>SUM(U9:U16)</f>
        <v>0</v>
      </c>
      <c r="V18" s="242">
        <f>SUM(V9:V17)</f>
        <v>1497513.77</v>
      </c>
      <c r="W18" s="289"/>
      <c r="X18" s="289"/>
      <c r="Y18" s="290">
        <f>SUM(Y9:Y17)</f>
        <v>1520325</v>
      </c>
      <c r="Z18" s="291">
        <f>(Y18-T18)/T18</f>
        <v>0.12342052759920195</v>
      </c>
      <c r="AA18" s="109">
        <f>SUM(AA9:AA17)</f>
        <v>144213.77000000002</v>
      </c>
    </row>
    <row r="19" spans="1:28" s="41" customFormat="1" ht="16.5">
      <c r="E19" s="107"/>
      <c r="F19" s="107"/>
      <c r="G19" s="99"/>
      <c r="H19" s="99"/>
      <c r="I19" s="108"/>
      <c r="J19" s="98"/>
      <c r="K19" s="108"/>
      <c r="L19" s="98"/>
      <c r="M19" s="108"/>
      <c r="N19" s="108"/>
      <c r="O19" s="98"/>
      <c r="P19" s="108"/>
      <c r="Q19" s="98"/>
      <c r="R19" s="108"/>
      <c r="S19" s="98"/>
      <c r="T19" s="120"/>
      <c r="U19" s="120"/>
      <c r="V19" s="120"/>
      <c r="W19" s="98"/>
      <c r="X19" s="98"/>
      <c r="Y19" s="120"/>
      <c r="Z19" s="115"/>
    </row>
    <row r="20" spans="1:28" s="41" customFormat="1" ht="17.25" thickBot="1">
      <c r="A20" s="177"/>
      <c r="B20" s="425" t="s">
        <v>278</v>
      </c>
      <c r="C20" s="425"/>
      <c r="D20" s="177"/>
      <c r="E20" s="292"/>
      <c r="F20" s="292"/>
      <c r="G20" s="170"/>
      <c r="H20" s="170"/>
      <c r="I20" s="193"/>
      <c r="J20" s="168"/>
      <c r="K20" s="193"/>
      <c r="L20" s="168"/>
      <c r="M20" s="193"/>
      <c r="N20" s="193"/>
      <c r="O20" s="168"/>
      <c r="P20" s="193"/>
      <c r="Q20" s="168"/>
      <c r="R20" s="193"/>
      <c r="S20" s="168"/>
      <c r="T20" s="263"/>
      <c r="U20" s="263"/>
      <c r="V20" s="263"/>
      <c r="W20" s="168"/>
      <c r="X20" s="168"/>
      <c r="Y20" s="263"/>
      <c r="Z20" s="283"/>
    </row>
    <row r="21" spans="1:28" ht="16.5" thickTop="1">
      <c r="A21" s="161" t="s">
        <v>1507</v>
      </c>
      <c r="B21" s="161"/>
      <c r="C21" s="161" t="s">
        <v>770</v>
      </c>
      <c r="D21" s="161"/>
      <c r="E21" s="162">
        <v>313668</v>
      </c>
      <c r="F21" s="162"/>
      <c r="G21" s="163"/>
      <c r="H21" s="163"/>
      <c r="I21" s="165">
        <v>645788.23</v>
      </c>
      <c r="J21" s="168"/>
      <c r="K21" s="165">
        <v>627015.49</v>
      </c>
      <c r="L21" s="168"/>
      <c r="M21" s="165">
        <v>669885.96</v>
      </c>
      <c r="N21" s="165">
        <v>791059.39</v>
      </c>
      <c r="O21" s="168"/>
      <c r="P21" s="165">
        <v>877685.9</v>
      </c>
      <c r="Q21" s="168"/>
      <c r="R21" s="165">
        <v>1123733.1499999999</v>
      </c>
      <c r="S21" s="168"/>
      <c r="T21" s="282">
        <v>1125000</v>
      </c>
      <c r="U21" s="282"/>
      <c r="V21" s="282">
        <v>1125000</v>
      </c>
      <c r="W21" s="168"/>
      <c r="X21" s="168"/>
      <c r="Y21" s="282">
        <v>1125000</v>
      </c>
      <c r="Z21" s="283">
        <f>(Y21-T21)/T21</f>
        <v>0</v>
      </c>
      <c r="AA21" s="101">
        <f>V21-T21</f>
        <v>0</v>
      </c>
      <c r="AB21" s="93"/>
    </row>
    <row r="22" spans="1:28">
      <c r="A22" s="161" t="s">
        <v>1508</v>
      </c>
      <c r="B22" s="161"/>
      <c r="C22" s="161" t="s">
        <v>771</v>
      </c>
      <c r="D22" s="161"/>
      <c r="E22" s="162"/>
      <c r="F22" s="162"/>
      <c r="G22" s="163"/>
      <c r="H22" s="163"/>
      <c r="I22" s="165">
        <v>0</v>
      </c>
      <c r="J22" s="168"/>
      <c r="K22" s="165">
        <v>0</v>
      </c>
      <c r="L22" s="168"/>
      <c r="M22" s="165">
        <v>0</v>
      </c>
      <c r="N22" s="165">
        <v>87427.47</v>
      </c>
      <c r="O22" s="168"/>
      <c r="P22" s="165">
        <v>90417.95</v>
      </c>
      <c r="Q22" s="168"/>
      <c r="R22" s="165">
        <v>125964.4</v>
      </c>
      <c r="S22" s="168"/>
      <c r="T22" s="282">
        <v>126000</v>
      </c>
      <c r="U22" s="282"/>
      <c r="V22" s="282">
        <v>102000</v>
      </c>
      <c r="W22" s="168"/>
      <c r="X22" s="168"/>
      <c r="Y22" s="282">
        <v>102000</v>
      </c>
      <c r="Z22" s="283">
        <f>(Y22-T22)/T22</f>
        <v>-0.19047619047619047</v>
      </c>
      <c r="AA22" s="101">
        <f>V22-T22</f>
        <v>-24000</v>
      </c>
      <c r="AB22" s="93"/>
    </row>
    <row r="23" spans="1:28">
      <c r="A23" s="161" t="s">
        <v>1509</v>
      </c>
      <c r="B23" s="161"/>
      <c r="C23" s="161" t="s">
        <v>772</v>
      </c>
      <c r="D23" s="161"/>
      <c r="E23" s="162"/>
      <c r="F23" s="162"/>
      <c r="G23" s="163"/>
      <c r="H23" s="163"/>
      <c r="I23" s="165">
        <v>0</v>
      </c>
      <c r="J23" s="168"/>
      <c r="K23" s="165">
        <v>0</v>
      </c>
      <c r="L23" s="168"/>
      <c r="M23" s="165">
        <v>0</v>
      </c>
      <c r="N23" s="165">
        <v>165618.23999999999</v>
      </c>
      <c r="O23" s="168"/>
      <c r="P23" s="165">
        <v>174555.83</v>
      </c>
      <c r="Q23" s="168"/>
      <c r="R23" s="165">
        <v>272137.84999999998</v>
      </c>
      <c r="S23" s="168"/>
      <c r="T23" s="282">
        <v>270000</v>
      </c>
      <c r="U23" s="282"/>
      <c r="V23" s="282">
        <v>264000</v>
      </c>
      <c r="W23" s="168"/>
      <c r="X23" s="168"/>
      <c r="Y23" s="282">
        <v>270000</v>
      </c>
      <c r="Z23" s="283">
        <f>(Y23-T23)/T23</f>
        <v>0</v>
      </c>
      <c r="AA23" s="101">
        <f>V23-T23</f>
        <v>-6000</v>
      </c>
      <c r="AB23" s="93"/>
    </row>
    <row r="24" spans="1:28">
      <c r="A24" s="161" t="s">
        <v>1510</v>
      </c>
      <c r="B24" s="161"/>
      <c r="C24" s="161" t="s">
        <v>80</v>
      </c>
      <c r="D24" s="161"/>
      <c r="E24" s="162"/>
      <c r="F24" s="162"/>
      <c r="G24" s="163"/>
      <c r="H24" s="163"/>
      <c r="I24" s="284">
        <v>1050</v>
      </c>
      <c r="J24" s="168"/>
      <c r="K24" s="284">
        <v>3500</v>
      </c>
      <c r="L24" s="168"/>
      <c r="M24" s="284">
        <v>3552.5</v>
      </c>
      <c r="N24" s="165">
        <v>7542.5</v>
      </c>
      <c r="O24" s="168"/>
      <c r="P24" s="165">
        <v>8742.5</v>
      </c>
      <c r="Q24" s="168"/>
      <c r="R24" s="165">
        <v>199587.5</v>
      </c>
      <c r="S24" s="168"/>
      <c r="T24" s="282">
        <v>6000</v>
      </c>
      <c r="U24" s="282"/>
      <c r="V24" s="282">
        <v>22225</v>
      </c>
      <c r="W24" s="293"/>
      <c r="X24" s="168"/>
      <c r="Y24" s="282">
        <v>13775</v>
      </c>
      <c r="Z24" s="283">
        <f>(Y24-T24)/T24</f>
        <v>1.2958333333333334</v>
      </c>
      <c r="AA24" s="101">
        <f>V24-T24</f>
        <v>16225</v>
      </c>
      <c r="AB24" s="93"/>
    </row>
    <row r="25" spans="1:28" hidden="1">
      <c r="A25" s="161" t="s">
        <v>977</v>
      </c>
      <c r="B25" s="161"/>
      <c r="C25" s="161" t="s">
        <v>254</v>
      </c>
      <c r="D25" s="161"/>
      <c r="E25" s="162">
        <v>20630</v>
      </c>
      <c r="F25" s="162"/>
      <c r="G25" s="163"/>
      <c r="H25" s="163"/>
      <c r="I25" s="165">
        <v>600</v>
      </c>
      <c r="J25" s="168"/>
      <c r="K25" s="165">
        <v>3115.08</v>
      </c>
      <c r="L25" s="168"/>
      <c r="M25" s="165">
        <v>200</v>
      </c>
      <c r="N25" s="165">
        <v>660</v>
      </c>
      <c r="O25" s="168"/>
      <c r="P25" s="165">
        <v>0</v>
      </c>
      <c r="Q25" s="168"/>
      <c r="R25" s="165"/>
      <c r="S25" s="168"/>
      <c r="T25" s="165"/>
      <c r="U25" s="282"/>
      <c r="V25" s="282"/>
      <c r="W25" s="168"/>
      <c r="X25" s="168"/>
      <c r="Y25" s="165"/>
      <c r="Z25" s="283">
        <v>0</v>
      </c>
      <c r="AA25" s="117">
        <f>V25-T25</f>
        <v>0</v>
      </c>
      <c r="AB25" s="93"/>
    </row>
    <row r="26" spans="1:28" ht="16.5">
      <c r="A26" s="161"/>
      <c r="B26" s="177" t="s">
        <v>333</v>
      </c>
      <c r="C26" s="161"/>
      <c r="D26" s="161"/>
      <c r="E26" s="294">
        <f>SUM(E7:E24)</f>
        <v>795081</v>
      </c>
      <c r="F26" s="295"/>
      <c r="G26" s="296"/>
      <c r="H26" s="296"/>
      <c r="I26" s="287">
        <f>SUM(I21:I24)</f>
        <v>646838.23</v>
      </c>
      <c r="J26" s="297"/>
      <c r="K26" s="287">
        <f>SUM(K21:K24)</f>
        <v>630515.49</v>
      </c>
      <c r="L26" s="297"/>
      <c r="M26" s="287">
        <f>SUM(M21:M24)</f>
        <v>673438.46</v>
      </c>
      <c r="N26" s="287">
        <f>SUM(N21:N25)</f>
        <v>1052307.6000000001</v>
      </c>
      <c r="O26" s="297"/>
      <c r="P26" s="287">
        <f>SUM(P21:P25)</f>
        <v>1151402.18</v>
      </c>
      <c r="Q26" s="297"/>
      <c r="R26" s="242">
        <f>SUM(R21:R25)</f>
        <v>1721422.9</v>
      </c>
      <c r="S26" s="298"/>
      <c r="T26" s="242">
        <f>SUM(T21:T25)</f>
        <v>1527000</v>
      </c>
      <c r="U26" s="242">
        <f>SUM(U21:U25)</f>
        <v>0</v>
      </c>
      <c r="V26" s="242">
        <f>SUM(V21:V25)</f>
        <v>1513225</v>
      </c>
      <c r="W26" s="298"/>
      <c r="X26" s="298"/>
      <c r="Y26" s="242">
        <f>SUM(Y21:Y25)</f>
        <v>1510775</v>
      </c>
      <c r="Z26" s="291">
        <f>(Y26-T26)/T26</f>
        <v>-1.0625409299279633E-2</v>
      </c>
      <c r="AA26" s="109">
        <f>SUM(AA21:AA24)</f>
        <v>-13775</v>
      </c>
      <c r="AB26" s="93"/>
    </row>
    <row r="27" spans="1:28" ht="16.5">
      <c r="B27" s="41"/>
      <c r="E27" s="125"/>
      <c r="F27" s="122"/>
      <c r="G27" s="123"/>
      <c r="H27" s="123"/>
      <c r="I27" s="108"/>
      <c r="J27" s="124"/>
      <c r="K27" s="108"/>
      <c r="L27" s="124"/>
      <c r="M27" s="108"/>
      <c r="N27" s="108"/>
      <c r="O27" s="124"/>
      <c r="P27" s="108"/>
      <c r="Q27" s="124"/>
      <c r="R27" s="108"/>
      <c r="S27" s="124"/>
      <c r="T27" s="108"/>
      <c r="U27" s="108"/>
      <c r="V27" s="108"/>
      <c r="W27" s="124"/>
      <c r="X27" s="124"/>
      <c r="Y27" s="108"/>
      <c r="Z27" s="102"/>
      <c r="AA27" s="93"/>
      <c r="AB27" s="93"/>
    </row>
    <row r="28" spans="1:28" s="41" customFormat="1" ht="16.5" hidden="1">
      <c r="B28" s="41" t="s">
        <v>775</v>
      </c>
      <c r="E28" s="107"/>
      <c r="F28" s="107"/>
      <c r="G28" s="99"/>
      <c r="H28" s="99"/>
      <c r="I28" s="108"/>
      <c r="J28" s="98"/>
      <c r="K28" s="108"/>
      <c r="L28" s="98"/>
      <c r="M28" s="108"/>
      <c r="N28" s="108"/>
      <c r="O28" s="98"/>
      <c r="P28" s="108"/>
      <c r="Q28" s="98"/>
      <c r="R28" s="108"/>
      <c r="S28" s="98"/>
      <c r="T28" s="120"/>
      <c r="U28" s="120"/>
      <c r="V28" s="120"/>
      <c r="W28" s="98"/>
      <c r="X28" s="98"/>
      <c r="Y28" s="120"/>
      <c r="Z28" s="115"/>
    </row>
    <row r="29" spans="1:28" ht="16.5" hidden="1">
      <c r="A29" s="93" t="s">
        <v>274</v>
      </c>
      <c r="C29" s="93" t="s">
        <v>775</v>
      </c>
      <c r="E29" s="94">
        <v>391303</v>
      </c>
      <c r="I29" s="116">
        <v>5044938.7300000004</v>
      </c>
      <c r="J29" s="98"/>
      <c r="K29" s="116">
        <v>10127731</v>
      </c>
      <c r="L29" s="98"/>
      <c r="M29" s="116">
        <v>1560205</v>
      </c>
      <c r="N29" s="116">
        <v>0</v>
      </c>
      <c r="O29" s="98"/>
      <c r="P29" s="116">
        <v>0</v>
      </c>
      <c r="Q29" s="98"/>
      <c r="R29" s="116">
        <v>0</v>
      </c>
      <c r="S29" s="98"/>
      <c r="T29" s="118">
        <v>0</v>
      </c>
      <c r="U29" s="118">
        <v>0</v>
      </c>
      <c r="V29" s="118">
        <v>0</v>
      </c>
      <c r="W29" s="98"/>
      <c r="X29" s="98"/>
      <c r="Y29" s="118">
        <v>0</v>
      </c>
      <c r="Z29" s="119">
        <v>0</v>
      </c>
      <c r="AA29" s="117">
        <f>V29-T29</f>
        <v>0</v>
      </c>
      <c r="AB29" s="93"/>
    </row>
    <row r="30" spans="1:28" ht="16.5" hidden="1">
      <c r="B30" s="41" t="s">
        <v>792</v>
      </c>
      <c r="E30" s="121">
        <f>SUM(E11:E29)</f>
        <v>1610792</v>
      </c>
      <c r="F30" s="122"/>
      <c r="G30" s="123"/>
      <c r="H30" s="123"/>
      <c r="I30" s="108">
        <f>SUM(I29)</f>
        <v>5044938.7300000004</v>
      </c>
      <c r="J30" s="124"/>
      <c r="K30" s="108">
        <f>SUM(K29)</f>
        <v>10127731</v>
      </c>
      <c r="L30" s="124"/>
      <c r="M30" s="108">
        <f>SUM(M29)</f>
        <v>1560205</v>
      </c>
      <c r="N30" s="108">
        <f>SUM(N29)</f>
        <v>0</v>
      </c>
      <c r="O30" s="124"/>
      <c r="P30" s="108">
        <f>SUM(P29)</f>
        <v>0</v>
      </c>
      <c r="Q30" s="124"/>
      <c r="R30" s="108">
        <f>SUM(R29)</f>
        <v>0</v>
      </c>
      <c r="S30" s="124"/>
      <c r="T30" s="108">
        <v>0</v>
      </c>
      <c r="U30" s="108">
        <f>SUM(U29)</f>
        <v>0</v>
      </c>
      <c r="V30" s="108">
        <f>SUM(V29)</f>
        <v>0</v>
      </c>
      <c r="W30" s="124"/>
      <c r="X30" s="124"/>
      <c r="Y30" s="108">
        <f>SUM(Y29)</f>
        <v>0</v>
      </c>
      <c r="Z30" s="102">
        <v>0</v>
      </c>
      <c r="AA30" s="101">
        <f>SUM(AA29)</f>
        <v>0</v>
      </c>
      <c r="AB30" s="93"/>
    </row>
    <row r="31" spans="1:28" ht="16.5" hidden="1">
      <c r="B31" s="41"/>
      <c r="E31" s="125"/>
      <c r="F31" s="122"/>
      <c r="G31" s="123"/>
      <c r="H31" s="123"/>
      <c r="I31" s="108"/>
      <c r="J31" s="124"/>
      <c r="K31" s="108"/>
      <c r="L31" s="124"/>
      <c r="M31" s="108"/>
      <c r="N31" s="108"/>
      <c r="O31" s="124"/>
      <c r="P31" s="108"/>
      <c r="Q31" s="124"/>
      <c r="R31" s="108"/>
      <c r="S31" s="124"/>
      <c r="T31" s="108"/>
      <c r="U31" s="108"/>
      <c r="V31" s="108"/>
      <c r="W31" s="124"/>
      <c r="X31" s="124"/>
      <c r="Y31" s="108"/>
      <c r="Z31" s="102"/>
      <c r="AA31" s="93"/>
      <c r="AB31" s="93"/>
    </row>
    <row r="32" spans="1:28" s="41" customFormat="1" ht="16.5" hidden="1">
      <c r="A32" s="424" t="s">
        <v>1217</v>
      </c>
      <c r="B32" s="424"/>
      <c r="C32" s="424"/>
      <c r="D32" s="424"/>
      <c r="E32" s="292"/>
      <c r="F32" s="292"/>
      <c r="G32" s="170"/>
      <c r="H32" s="170"/>
      <c r="I32" s="193"/>
      <c r="J32" s="168"/>
      <c r="K32" s="193"/>
      <c r="L32" s="168"/>
      <c r="M32" s="193"/>
      <c r="N32" s="193"/>
      <c r="O32" s="168"/>
      <c r="P32" s="193"/>
      <c r="Q32" s="168"/>
      <c r="R32" s="193"/>
      <c r="S32" s="168"/>
      <c r="T32" s="263"/>
      <c r="U32" s="263"/>
      <c r="V32" s="263"/>
      <c r="W32" s="168"/>
      <c r="X32" s="168"/>
      <c r="Y32" s="263"/>
      <c r="Z32" s="283"/>
    </row>
    <row r="33" spans="1:28" hidden="1">
      <c r="A33" s="161" t="s">
        <v>896</v>
      </c>
      <c r="B33" s="161"/>
      <c r="C33" s="161" t="s">
        <v>775</v>
      </c>
      <c r="D33" s="161"/>
      <c r="E33" s="162">
        <v>391303</v>
      </c>
      <c r="F33" s="162"/>
      <c r="G33" s="163"/>
      <c r="H33" s="163"/>
      <c r="I33" s="165">
        <v>5044938.7300000004</v>
      </c>
      <c r="J33" s="168"/>
      <c r="K33" s="165">
        <v>0</v>
      </c>
      <c r="L33" s="168"/>
      <c r="M33" s="165">
        <v>725</v>
      </c>
      <c r="N33" s="165">
        <v>0</v>
      </c>
      <c r="O33" s="168"/>
      <c r="P33" s="165">
        <v>951.51</v>
      </c>
      <c r="Q33" s="168"/>
      <c r="R33" s="165">
        <v>0</v>
      </c>
      <c r="S33" s="168"/>
      <c r="T33" s="282">
        <v>0</v>
      </c>
      <c r="U33" s="282"/>
      <c r="V33" s="282">
        <v>0</v>
      </c>
      <c r="W33" s="168"/>
      <c r="X33" s="168"/>
      <c r="Y33" s="282">
        <v>0</v>
      </c>
      <c r="Z33" s="283">
        <v>0</v>
      </c>
      <c r="AA33" s="117">
        <f>V33-T33</f>
        <v>0</v>
      </c>
      <c r="AB33" s="93"/>
    </row>
    <row r="34" spans="1:28" ht="16.5" hidden="1">
      <c r="A34" s="161"/>
      <c r="B34" s="177" t="s">
        <v>1268</v>
      </c>
      <c r="C34" s="161"/>
      <c r="D34" s="161"/>
      <c r="E34" s="294">
        <f>SUM(E12:E33)</f>
        <v>3612887</v>
      </c>
      <c r="F34" s="295"/>
      <c r="G34" s="296"/>
      <c r="H34" s="296"/>
      <c r="I34" s="287">
        <f>SUM(I33)</f>
        <v>5044938.7300000004</v>
      </c>
      <c r="J34" s="297"/>
      <c r="K34" s="287">
        <f>SUM(K33)</f>
        <v>0</v>
      </c>
      <c r="L34" s="297"/>
      <c r="M34" s="287">
        <f>SUM(M33)</f>
        <v>725</v>
      </c>
      <c r="N34" s="287">
        <f>SUM(N33)</f>
        <v>0</v>
      </c>
      <c r="O34" s="297"/>
      <c r="P34" s="287">
        <f>SUM(P33)</f>
        <v>951.51</v>
      </c>
      <c r="Q34" s="297"/>
      <c r="R34" s="242">
        <f>SUM(R33)</f>
        <v>0</v>
      </c>
      <c r="S34" s="298"/>
      <c r="T34" s="242">
        <v>0</v>
      </c>
      <c r="U34" s="242">
        <f>SUM(U33)</f>
        <v>0</v>
      </c>
      <c r="V34" s="242">
        <f>SUM(V33)</f>
        <v>0</v>
      </c>
      <c r="W34" s="298"/>
      <c r="X34" s="298"/>
      <c r="Y34" s="242">
        <f>SUM(Y33)</f>
        <v>0</v>
      </c>
      <c r="Z34" s="291">
        <v>0</v>
      </c>
      <c r="AA34" s="109">
        <f>SUM(AA33)</f>
        <v>0</v>
      </c>
      <c r="AB34" s="93"/>
    </row>
    <row r="35" spans="1:28" ht="16.5" hidden="1">
      <c r="A35" s="161"/>
      <c r="B35" s="177"/>
      <c r="C35" s="161"/>
      <c r="D35" s="161"/>
      <c r="E35" s="299"/>
      <c r="F35" s="300"/>
      <c r="G35" s="301"/>
      <c r="H35" s="301"/>
      <c r="I35" s="193"/>
      <c r="J35" s="302"/>
      <c r="K35" s="193"/>
      <c r="L35" s="302"/>
      <c r="M35" s="193"/>
      <c r="N35" s="193"/>
      <c r="O35" s="302"/>
      <c r="P35" s="193"/>
      <c r="Q35" s="302"/>
      <c r="R35" s="193"/>
      <c r="S35" s="302"/>
      <c r="T35" s="193"/>
      <c r="U35" s="193"/>
      <c r="V35" s="193"/>
      <c r="W35" s="302"/>
      <c r="X35" s="302"/>
      <c r="Y35" s="193"/>
      <c r="Z35" s="303"/>
      <c r="AA35" s="109"/>
      <c r="AB35" s="93"/>
    </row>
    <row r="36" spans="1:28" s="41" customFormat="1" ht="16.5" hidden="1">
      <c r="A36" s="424" t="s">
        <v>774</v>
      </c>
      <c r="B36" s="424"/>
      <c r="C36" s="424"/>
      <c r="D36" s="424"/>
      <c r="E36" s="292"/>
      <c r="F36" s="292"/>
      <c r="G36" s="170"/>
      <c r="H36" s="170"/>
      <c r="I36" s="193"/>
      <c r="J36" s="168"/>
      <c r="K36" s="193"/>
      <c r="L36" s="168"/>
      <c r="M36" s="193"/>
      <c r="N36" s="193"/>
      <c r="O36" s="168"/>
      <c r="P36" s="193"/>
      <c r="Q36" s="168"/>
      <c r="R36" s="193"/>
      <c r="S36" s="168"/>
      <c r="T36" s="263"/>
      <c r="U36" s="263"/>
      <c r="V36" s="263"/>
      <c r="W36" s="168"/>
      <c r="X36" s="168"/>
      <c r="Y36" s="263"/>
      <c r="Z36" s="283"/>
    </row>
    <row r="37" spans="1:28" hidden="1">
      <c r="A37" s="161" t="s">
        <v>896</v>
      </c>
      <c r="B37" s="161"/>
      <c r="C37" s="161" t="s">
        <v>774</v>
      </c>
      <c r="D37" s="161"/>
      <c r="E37" s="162">
        <v>391303</v>
      </c>
      <c r="F37" s="162"/>
      <c r="G37" s="163"/>
      <c r="H37" s="163"/>
      <c r="I37" s="165">
        <v>5044938.7300000004</v>
      </c>
      <c r="J37" s="168"/>
      <c r="K37" s="165">
        <v>0</v>
      </c>
      <c r="L37" s="168"/>
      <c r="M37" s="165">
        <v>725</v>
      </c>
      <c r="N37" s="165">
        <v>0</v>
      </c>
      <c r="O37" s="168"/>
      <c r="P37" s="165">
        <v>951.51</v>
      </c>
      <c r="Q37" s="168"/>
      <c r="R37" s="165">
        <v>0</v>
      </c>
      <c r="S37" s="168"/>
      <c r="T37" s="282">
        <v>0</v>
      </c>
      <c r="U37" s="282"/>
      <c r="V37" s="282">
        <v>0</v>
      </c>
      <c r="W37" s="168"/>
      <c r="X37" s="168"/>
      <c r="Y37" s="282">
        <v>0</v>
      </c>
      <c r="Z37" s="283">
        <v>0</v>
      </c>
      <c r="AA37" s="117">
        <f>V37-T37</f>
        <v>0</v>
      </c>
      <c r="AB37" s="93"/>
    </row>
    <row r="38" spans="1:28" ht="16.5" hidden="1">
      <c r="A38" s="161"/>
      <c r="B38" s="177" t="s">
        <v>895</v>
      </c>
      <c r="C38" s="161"/>
      <c r="D38" s="161"/>
      <c r="E38" s="294">
        <f>SUM(E15:E37)</f>
        <v>7562484</v>
      </c>
      <c r="F38" s="295"/>
      <c r="G38" s="296"/>
      <c r="H38" s="296"/>
      <c r="I38" s="287">
        <f>SUM(I37)</f>
        <v>5044938.7300000004</v>
      </c>
      <c r="J38" s="297"/>
      <c r="K38" s="287">
        <f>SUM(K37)</f>
        <v>0</v>
      </c>
      <c r="L38" s="297"/>
      <c r="M38" s="287">
        <f>SUM(M37)</f>
        <v>725</v>
      </c>
      <c r="N38" s="287">
        <f>SUM(N37)</f>
        <v>0</v>
      </c>
      <c r="O38" s="297"/>
      <c r="P38" s="287">
        <f>SUM(P37)</f>
        <v>951.51</v>
      </c>
      <c r="Q38" s="297"/>
      <c r="R38" s="242">
        <f>SUM(R37)</f>
        <v>0</v>
      </c>
      <c r="S38" s="298"/>
      <c r="T38" s="242">
        <v>0</v>
      </c>
      <c r="U38" s="242">
        <f>SUM(U37)</f>
        <v>0</v>
      </c>
      <c r="V38" s="242">
        <f>SUM(V37)</f>
        <v>0</v>
      </c>
      <c r="W38" s="298"/>
      <c r="X38" s="298"/>
      <c r="Y38" s="242">
        <f>SUM(Y37)</f>
        <v>0</v>
      </c>
      <c r="Z38" s="291">
        <v>0</v>
      </c>
      <c r="AA38" s="109">
        <f>SUM(AA37)</f>
        <v>0</v>
      </c>
      <c r="AB38" s="93"/>
    </row>
    <row r="39" spans="1:28" hidden="1">
      <c r="A39" s="161"/>
      <c r="B39" s="177"/>
      <c r="C39" s="161"/>
      <c r="D39" s="161"/>
      <c r="E39" s="299"/>
      <c r="F39" s="300"/>
      <c r="G39" s="301"/>
      <c r="H39" s="301"/>
      <c r="I39" s="193"/>
      <c r="J39" s="302"/>
      <c r="K39" s="193"/>
      <c r="L39" s="302"/>
      <c r="M39" s="193"/>
      <c r="N39" s="193"/>
      <c r="O39" s="302"/>
      <c r="P39" s="193"/>
      <c r="Q39" s="302"/>
      <c r="R39" s="193"/>
      <c r="S39" s="302"/>
      <c r="T39" s="193"/>
      <c r="U39" s="193"/>
      <c r="V39" s="193"/>
      <c r="W39" s="302"/>
      <c r="X39" s="302"/>
      <c r="Y39" s="193"/>
      <c r="Z39" s="303"/>
      <c r="AA39" s="93"/>
      <c r="AB39" s="93"/>
    </row>
    <row r="40" spans="1:28" s="41" customFormat="1" ht="16.5">
      <c r="A40" s="424" t="s">
        <v>795</v>
      </c>
      <c r="B40" s="424"/>
      <c r="C40" s="424"/>
      <c r="D40" s="424"/>
      <c r="E40" s="292"/>
      <c r="F40" s="292"/>
      <c r="G40" s="170"/>
      <c r="H40" s="170"/>
      <c r="I40" s="193"/>
      <c r="J40" s="168"/>
      <c r="K40" s="193"/>
      <c r="L40" s="168"/>
      <c r="M40" s="193"/>
      <c r="N40" s="193"/>
      <c r="O40" s="168"/>
      <c r="P40" s="193"/>
      <c r="Q40" s="168"/>
      <c r="R40" s="193"/>
      <c r="S40" s="168"/>
      <c r="T40" s="263"/>
      <c r="U40" s="263"/>
      <c r="V40" s="263"/>
      <c r="W40" s="168"/>
      <c r="X40" s="168"/>
      <c r="Y40" s="263"/>
      <c r="Z40" s="283"/>
    </row>
    <row r="41" spans="1:28">
      <c r="A41" s="161" t="s">
        <v>1463</v>
      </c>
      <c r="B41" s="161"/>
      <c r="C41" s="161" t="s">
        <v>795</v>
      </c>
      <c r="D41" s="161"/>
      <c r="E41" s="162">
        <v>391303</v>
      </c>
      <c r="F41" s="162"/>
      <c r="G41" s="163"/>
      <c r="H41" s="163"/>
      <c r="I41" s="165">
        <v>95359</v>
      </c>
      <c r="J41" s="168"/>
      <c r="K41" s="165">
        <v>0</v>
      </c>
      <c r="L41" s="168"/>
      <c r="M41" s="165">
        <v>0</v>
      </c>
      <c r="N41" s="165">
        <v>0</v>
      </c>
      <c r="O41" s="168"/>
      <c r="P41" s="165">
        <v>0</v>
      </c>
      <c r="Q41" s="168"/>
      <c r="R41" s="165">
        <v>38000</v>
      </c>
      <c r="S41" s="168"/>
      <c r="T41" s="282">
        <v>48288</v>
      </c>
      <c r="U41" s="282"/>
      <c r="V41" s="282">
        <v>48288</v>
      </c>
      <c r="W41" s="168"/>
      <c r="X41" s="168"/>
      <c r="Y41" s="282">
        <v>73064</v>
      </c>
      <c r="Z41" s="283"/>
      <c r="AA41" s="117"/>
      <c r="AB41" s="93"/>
    </row>
    <row r="42" spans="1:28" ht="16.5">
      <c r="A42" s="161"/>
      <c r="B42" s="177" t="s">
        <v>794</v>
      </c>
      <c r="C42" s="161"/>
      <c r="D42" s="161"/>
      <c r="E42" s="294">
        <f>SUM(E14:E40)</f>
        <v>15145598</v>
      </c>
      <c r="F42" s="295"/>
      <c r="G42" s="296"/>
      <c r="H42" s="296"/>
      <c r="I42" s="287" t="e">
        <f>SUM(#REF!)</f>
        <v>#REF!</v>
      </c>
      <c r="J42" s="297"/>
      <c r="K42" s="287" t="e">
        <f>SUM(#REF!)</f>
        <v>#REF!</v>
      </c>
      <c r="L42" s="297"/>
      <c r="M42" s="287" t="e">
        <f>SUM(#REF!)</f>
        <v>#REF!</v>
      </c>
      <c r="N42" s="287">
        <f>SUM(N41:N41)</f>
        <v>0</v>
      </c>
      <c r="O42" s="297"/>
      <c r="P42" s="287">
        <f>SUM(P41:P41)</f>
        <v>0</v>
      </c>
      <c r="Q42" s="297"/>
      <c r="R42" s="242">
        <f>SUM(R41:R41)</f>
        <v>38000</v>
      </c>
      <c r="S42" s="298"/>
      <c r="T42" s="242">
        <f>SUM(T41)</f>
        <v>48288</v>
      </c>
      <c r="U42" s="242">
        <f>SUM(U41:U41)</f>
        <v>0</v>
      </c>
      <c r="V42" s="242">
        <f>SUM(V41:V41)</f>
        <v>48288</v>
      </c>
      <c r="W42" s="298"/>
      <c r="X42" s="298"/>
      <c r="Y42" s="242">
        <f>SUM(Y41:Y41)</f>
        <v>73064</v>
      </c>
      <c r="Z42" s="291">
        <v>0</v>
      </c>
      <c r="AA42" s="109">
        <v>0</v>
      </c>
      <c r="AB42" s="93"/>
    </row>
    <row r="43" spans="1:28" ht="17.25" thickBot="1">
      <c r="B43" s="41"/>
      <c r="E43" s="125"/>
      <c r="F43" s="122"/>
      <c r="G43" s="123"/>
      <c r="H43" s="123"/>
      <c r="I43" s="108"/>
      <c r="J43" s="124"/>
      <c r="K43" s="108"/>
      <c r="L43" s="124"/>
      <c r="M43" s="108"/>
      <c r="N43" s="108"/>
      <c r="O43" s="124"/>
      <c r="P43" s="108"/>
      <c r="Q43" s="124"/>
      <c r="R43" s="108"/>
      <c r="S43" s="124"/>
      <c r="T43" s="126"/>
      <c r="U43" s="126"/>
      <c r="V43" s="126"/>
      <c r="W43" s="124"/>
      <c r="X43" s="124"/>
      <c r="Y43" s="126"/>
      <c r="Z43" s="127"/>
      <c r="AA43" s="93"/>
      <c r="AB43" s="93"/>
    </row>
    <row r="44" spans="1:28" s="41" customFormat="1" ht="17.25" thickBot="1">
      <c r="A44" s="177" t="s">
        <v>469</v>
      </c>
      <c r="B44" s="177"/>
      <c r="C44" s="177"/>
      <c r="D44" s="177"/>
      <c r="E44" s="304"/>
      <c r="F44" s="304"/>
      <c r="G44" s="305"/>
      <c r="H44" s="305"/>
      <c r="I44" s="306" t="e">
        <f>I18+I26+I30+I42</f>
        <v>#REF!</v>
      </c>
      <c r="J44" s="307"/>
      <c r="K44" s="306" t="e">
        <f>K18+K26+K30+K38+K42</f>
        <v>#REF!</v>
      </c>
      <c r="L44" s="307"/>
      <c r="M44" s="306" t="e">
        <f>M18+M26+M30+M38+M42</f>
        <v>#REF!</v>
      </c>
      <c r="N44" s="306">
        <f>N18+N26+N30+N38+N42</f>
        <v>2063711.4700000002</v>
      </c>
      <c r="O44" s="307"/>
      <c r="P44" s="306">
        <f>P18+P26+P30+P38+P42</f>
        <v>2225801.5199999996</v>
      </c>
      <c r="Q44" s="307"/>
      <c r="R44" s="308">
        <f>R18+R26+R34+R30+R38+R42</f>
        <v>3277377.44</v>
      </c>
      <c r="S44" s="309"/>
      <c r="T44" s="308">
        <f>SUM(T18+T26+T34+T30+T38+T42)</f>
        <v>2928588</v>
      </c>
      <c r="U44" s="308">
        <f>U18+U26+U30+U38+U42</f>
        <v>0</v>
      </c>
      <c r="V44" s="308">
        <f>(V18+V26+V34+V30+V38+V42)</f>
        <v>3059026.77</v>
      </c>
      <c r="W44" s="309"/>
      <c r="X44" s="309"/>
      <c r="Y44" s="308">
        <f>Y18+Y26+Y30+Y38+Y42</f>
        <v>3104164</v>
      </c>
      <c r="Z44" s="310">
        <f>(Y44-T44)/T44</f>
        <v>5.995244124472271E-2</v>
      </c>
      <c r="AA44" s="106">
        <f>AA18+AA26+AA30+AA38+AA42</f>
        <v>130438.77000000002</v>
      </c>
    </row>
    <row r="45" spans="1:28" s="41" customFormat="1" ht="17.25" thickTop="1">
      <c r="E45" s="125"/>
      <c r="F45" s="125"/>
      <c r="G45" s="128"/>
      <c r="H45" s="128"/>
      <c r="I45" s="108"/>
      <c r="J45" s="124"/>
      <c r="K45" s="108"/>
      <c r="L45" s="124"/>
      <c r="M45" s="108"/>
      <c r="N45" s="108"/>
      <c r="O45" s="124"/>
      <c r="P45" s="108"/>
      <c r="Q45" s="124"/>
      <c r="R45" s="108"/>
      <c r="S45" s="124"/>
      <c r="T45" s="108"/>
      <c r="U45" s="108"/>
      <c r="V45" s="108"/>
      <c r="W45" s="124"/>
      <c r="X45" s="124"/>
      <c r="Y45" s="108"/>
      <c r="Z45" s="130"/>
    </row>
    <row r="46" spans="1:28" ht="15.75" customHeight="1">
      <c r="B46" s="424" t="s">
        <v>88</v>
      </c>
      <c r="C46" s="424"/>
      <c r="D46" s="161"/>
      <c r="E46" s="162"/>
      <c r="F46" s="162"/>
      <c r="G46" s="163"/>
      <c r="H46" s="163"/>
      <c r="I46" s="165"/>
      <c r="J46" s="167"/>
      <c r="K46" s="165"/>
      <c r="L46" s="167"/>
      <c r="M46" s="165"/>
      <c r="N46" s="165"/>
      <c r="O46" s="167"/>
      <c r="P46" s="165"/>
      <c r="Q46" s="167"/>
      <c r="R46" s="165"/>
      <c r="S46" s="167"/>
      <c r="T46" s="311"/>
      <c r="U46" s="167"/>
      <c r="V46" s="167"/>
      <c r="W46" s="167"/>
      <c r="X46" s="167"/>
      <c r="Y46" s="311"/>
      <c r="Z46" s="312"/>
      <c r="AA46" s="93"/>
      <c r="AB46" s="93"/>
    </row>
    <row r="47" spans="1:28" ht="15.75" customHeight="1">
      <c r="B47" s="161"/>
      <c r="C47" s="161" t="s">
        <v>82</v>
      </c>
      <c r="D47" s="161"/>
      <c r="E47" s="162"/>
      <c r="F47" s="162"/>
      <c r="G47" s="163"/>
      <c r="H47" s="163"/>
      <c r="I47" s="165">
        <f>I72+I176+SUM(I126:I134)+SUM(I202:I210)</f>
        <v>594805.42000000004</v>
      </c>
      <c r="J47" s="167"/>
      <c r="K47" s="165">
        <f>K72+K176+SUM(K126:K134)+SUM(K202:K210)</f>
        <v>752179.25</v>
      </c>
      <c r="L47" s="167"/>
      <c r="M47" s="165">
        <f>M72+M176+SUM(M126:M134)+SUM(M202:M210)</f>
        <v>623733.53999999992</v>
      </c>
      <c r="N47" s="165">
        <f>N72+N176+SUM(N126:N134)+SUM(N202:N210)</f>
        <v>814856.05999999994</v>
      </c>
      <c r="O47" s="167"/>
      <c r="P47" s="165">
        <f>P72+P176+SUM(P126:P134)+SUM(P202:P210)</f>
        <v>796564.92</v>
      </c>
      <c r="Q47" s="167"/>
      <c r="R47" s="165">
        <f>R72+R176+R143+R219</f>
        <v>902808.62</v>
      </c>
      <c r="S47" s="167"/>
      <c r="T47" s="165">
        <f>T72+T176+T143+T219</f>
        <v>1153377.3999999999</v>
      </c>
      <c r="U47" s="165">
        <f>U72+U176+U143+U219</f>
        <v>0</v>
      </c>
      <c r="V47" s="165">
        <f>V72+V176+V143+V219</f>
        <v>1103101.3999999999</v>
      </c>
      <c r="W47" s="167"/>
      <c r="X47" s="167"/>
      <c r="Y47" s="165">
        <f>Y72+Y176+Y143+Y219</f>
        <v>1202066.8799999999</v>
      </c>
      <c r="Z47" s="283">
        <f t="shared" ref="Z47:Z53" si="2">(Y47-T47)/T47</f>
        <v>4.2214699195597193E-2</v>
      </c>
      <c r="AA47" s="101">
        <f t="shared" ref="AA47:AA53" si="3">V47-T47</f>
        <v>-50276</v>
      </c>
      <c r="AB47" s="93"/>
    </row>
    <row r="48" spans="1:28" ht="15.75" customHeight="1">
      <c r="B48" s="161"/>
      <c r="C48" s="161" t="s">
        <v>86</v>
      </c>
      <c r="D48" s="161"/>
      <c r="E48" s="162"/>
      <c r="F48" s="162"/>
      <c r="G48" s="163"/>
      <c r="H48" s="163"/>
      <c r="I48" s="165">
        <f>I109+I187</f>
        <v>181246.29999999996</v>
      </c>
      <c r="J48" s="167"/>
      <c r="K48" s="165">
        <f>K109+K187</f>
        <v>173206.41</v>
      </c>
      <c r="L48" s="167"/>
      <c r="M48" s="165">
        <f>M109+M187</f>
        <v>179500.28999999998</v>
      </c>
      <c r="N48" s="165">
        <f>N109+N187</f>
        <v>224496.74</v>
      </c>
      <c r="O48" s="167"/>
      <c r="P48" s="165">
        <f>P109+P187</f>
        <v>204589.27000000002</v>
      </c>
      <c r="Q48" s="167"/>
      <c r="R48" s="165">
        <f>R109+R187</f>
        <v>292865.31</v>
      </c>
      <c r="S48" s="167"/>
      <c r="T48" s="165">
        <f>T109+T187</f>
        <v>293750</v>
      </c>
      <c r="U48" s="165">
        <f>U109+U187</f>
        <v>0</v>
      </c>
      <c r="V48" s="165">
        <f>V109+V187</f>
        <v>218182</v>
      </c>
      <c r="W48" s="167"/>
      <c r="X48" s="167"/>
      <c r="Y48" s="165">
        <f>Y109+Y187</f>
        <v>293691</v>
      </c>
      <c r="Z48" s="283">
        <f t="shared" si="2"/>
        <v>-2.0085106382978723E-4</v>
      </c>
      <c r="AA48" s="101">
        <f t="shared" si="3"/>
        <v>-75568</v>
      </c>
      <c r="AB48" s="93"/>
    </row>
    <row r="49" spans="1:28" ht="15.75" customHeight="1">
      <c r="B49" s="161"/>
      <c r="C49" s="161" t="s">
        <v>85</v>
      </c>
      <c r="D49" s="161"/>
      <c r="E49" s="162"/>
      <c r="F49" s="162"/>
      <c r="G49" s="163"/>
      <c r="H49" s="163"/>
      <c r="I49" s="165">
        <f>I123+I199+SUM(I138:I142)+SUM(I214:I218)</f>
        <v>60032.9</v>
      </c>
      <c r="J49" s="167"/>
      <c r="K49" s="165">
        <f>K123+K199+SUM(K137:K142)+SUM(K213:K218)</f>
        <v>97961.98000000001</v>
      </c>
      <c r="L49" s="167"/>
      <c r="M49" s="165">
        <f>M123+M199+SUM(M137:M142)+SUM(M213:M218)</f>
        <v>93301.01</v>
      </c>
      <c r="N49" s="165">
        <f>N123+N199+SUM(N137:N142)+SUM(N213:N218)</f>
        <v>167024.49</v>
      </c>
      <c r="O49" s="167"/>
      <c r="P49" s="165">
        <f>P123+P199+SUM(P137:P142)+SUM(P213:P218)</f>
        <v>131565.63999999998</v>
      </c>
      <c r="Q49" s="167"/>
      <c r="R49" s="165">
        <f>R123+R199</f>
        <v>231531.05</v>
      </c>
      <c r="S49" s="167"/>
      <c r="T49" s="165">
        <f>T123+T199</f>
        <v>179500</v>
      </c>
      <c r="U49" s="165">
        <f>U123+U199</f>
        <v>0</v>
      </c>
      <c r="V49" s="165">
        <f>V123+V199</f>
        <v>244500</v>
      </c>
      <c r="W49" s="167"/>
      <c r="X49" s="167"/>
      <c r="Y49" s="165">
        <f>Y123+Y199</f>
        <v>187000</v>
      </c>
      <c r="Z49" s="283">
        <f t="shared" si="2"/>
        <v>4.1782729805013928E-2</v>
      </c>
      <c r="AA49" s="101">
        <f t="shared" si="3"/>
        <v>65000</v>
      </c>
      <c r="AB49" s="93"/>
    </row>
    <row r="50" spans="1:28" ht="15.75" customHeight="1">
      <c r="B50" s="161"/>
      <c r="C50" s="161" t="s">
        <v>1367</v>
      </c>
      <c r="D50" s="161"/>
      <c r="E50" s="162"/>
      <c r="F50" s="162"/>
      <c r="G50" s="163"/>
      <c r="H50" s="163"/>
      <c r="I50" s="165">
        <f>I97+I241</f>
        <v>228417.66</v>
      </c>
      <c r="J50" s="167"/>
      <c r="K50" s="165">
        <f>K97+K241</f>
        <v>194128.56</v>
      </c>
      <c r="L50" s="167"/>
      <c r="M50" s="165">
        <f>M97+M241</f>
        <v>206297.55</v>
      </c>
      <c r="N50" s="165">
        <f>N97+N241</f>
        <v>293328.98</v>
      </c>
      <c r="O50" s="167"/>
      <c r="P50" s="165">
        <f>P97+P241</f>
        <v>372343.72</v>
      </c>
      <c r="Q50" s="167"/>
      <c r="R50" s="165">
        <f>R97+R241</f>
        <v>418370.31</v>
      </c>
      <c r="S50" s="167"/>
      <c r="T50" s="165">
        <f>T97+T241</f>
        <v>470646</v>
      </c>
      <c r="U50" s="165">
        <f>U97+U241</f>
        <v>0</v>
      </c>
      <c r="V50" s="165">
        <f>V97+V241</f>
        <v>580602.71</v>
      </c>
      <c r="W50" s="167"/>
      <c r="X50" s="167"/>
      <c r="Y50" s="165">
        <f>Y97+Y241</f>
        <v>602813</v>
      </c>
      <c r="Z50" s="283">
        <f t="shared" si="2"/>
        <v>0.28082040429537275</v>
      </c>
      <c r="AA50" s="101">
        <f t="shared" si="3"/>
        <v>109956.70999999996</v>
      </c>
      <c r="AB50" s="93"/>
    </row>
    <row r="51" spans="1:28" ht="15.75" customHeight="1">
      <c r="B51" s="161"/>
      <c r="C51" s="161" t="s">
        <v>606</v>
      </c>
      <c r="D51" s="161"/>
      <c r="E51" s="162"/>
      <c r="F51" s="162"/>
      <c r="G51" s="163"/>
      <c r="H51" s="163"/>
      <c r="I51" s="165">
        <f>I149+I246</f>
        <v>23343.72</v>
      </c>
      <c r="J51" s="167"/>
      <c r="K51" s="165">
        <f>K149+K246</f>
        <v>10764.99</v>
      </c>
      <c r="L51" s="167"/>
      <c r="M51" s="165">
        <f>M149+M246</f>
        <v>9050.86</v>
      </c>
      <c r="N51" s="165">
        <f>N149+N246</f>
        <v>6587.98</v>
      </c>
      <c r="O51" s="167"/>
      <c r="P51" s="165">
        <f>P149+P246</f>
        <v>19753.8</v>
      </c>
      <c r="Q51" s="167"/>
      <c r="R51" s="165">
        <f>R149+R246</f>
        <v>62497.88</v>
      </c>
      <c r="S51" s="167"/>
      <c r="T51" s="165">
        <f>T149+T246</f>
        <v>82500</v>
      </c>
      <c r="U51" s="165">
        <f>U149+U246</f>
        <v>0</v>
      </c>
      <c r="V51" s="165">
        <f>V149+V246</f>
        <v>110500</v>
      </c>
      <c r="W51" s="167"/>
      <c r="X51" s="167"/>
      <c r="Y51" s="165">
        <f>Y149+Y246</f>
        <v>35000</v>
      </c>
      <c r="Z51" s="283">
        <f t="shared" si="2"/>
        <v>-0.5757575757575758</v>
      </c>
      <c r="AA51" s="101">
        <f t="shared" si="3"/>
        <v>28000</v>
      </c>
      <c r="AB51" s="93"/>
    </row>
    <row r="52" spans="1:28" ht="15.75" customHeight="1">
      <c r="B52" s="161"/>
      <c r="C52" s="161" t="s">
        <v>270</v>
      </c>
      <c r="D52" s="161"/>
      <c r="E52" s="162"/>
      <c r="F52" s="162"/>
      <c r="G52" s="163"/>
      <c r="H52" s="163"/>
      <c r="I52" s="165" t="e">
        <f>I158+#REF!</f>
        <v>#REF!</v>
      </c>
      <c r="J52" s="167"/>
      <c r="K52" s="165">
        <f>K158+K251+K271+K276</f>
        <v>88732.65</v>
      </c>
      <c r="L52" s="167"/>
      <c r="M52" s="165">
        <f>M158+M251+M271+M276</f>
        <v>169167.46</v>
      </c>
      <c r="N52" s="165">
        <f>N158+N251+N271+N276</f>
        <v>49197.91</v>
      </c>
      <c r="O52" s="167"/>
      <c r="P52" s="165">
        <f>P158+P251+P271+P276</f>
        <v>-32738.07</v>
      </c>
      <c r="Q52" s="167"/>
      <c r="R52" s="165">
        <f>R158+R251+R271+R276</f>
        <v>69060.17</v>
      </c>
      <c r="S52" s="167"/>
      <c r="T52" s="165">
        <f>T158+T251+T271+T276</f>
        <v>127859</v>
      </c>
      <c r="U52" s="165">
        <f>U158+U251+U271+U276</f>
        <v>0</v>
      </c>
      <c r="V52" s="165">
        <f>V158+V251+V271+V276</f>
        <v>88850.34</v>
      </c>
      <c r="W52" s="167"/>
      <c r="X52" s="167"/>
      <c r="Y52" s="165">
        <f>Y158+Y251+Y271+Y276</f>
        <v>84565.239999999991</v>
      </c>
      <c r="Z52" s="283">
        <f t="shared" si="2"/>
        <v>-0.33860549511571347</v>
      </c>
      <c r="AA52" s="101">
        <f t="shared" si="3"/>
        <v>-39008.660000000003</v>
      </c>
      <c r="AB52" s="93"/>
    </row>
    <row r="53" spans="1:28" ht="15.75" customHeight="1">
      <c r="B53" s="161"/>
      <c r="C53" s="161" t="s">
        <v>793</v>
      </c>
      <c r="D53" s="161"/>
      <c r="E53" s="162"/>
      <c r="F53" s="162"/>
      <c r="G53" s="163"/>
      <c r="H53" s="163"/>
      <c r="I53" s="165">
        <f>I285</f>
        <v>224548</v>
      </c>
      <c r="J53" s="167"/>
      <c r="K53" s="165">
        <f>K285</f>
        <v>143483.65</v>
      </c>
      <c r="L53" s="167"/>
      <c r="M53" s="165">
        <f>M285</f>
        <v>97475.87</v>
      </c>
      <c r="N53" s="165">
        <f>N285</f>
        <v>131571.20000000001</v>
      </c>
      <c r="O53" s="167"/>
      <c r="P53" s="165">
        <f>P285</f>
        <v>210834.71000000002</v>
      </c>
      <c r="Q53" s="167"/>
      <c r="R53" s="165">
        <f>R285</f>
        <v>639486.75</v>
      </c>
      <c r="S53" s="167"/>
      <c r="T53" s="165">
        <f>T285</f>
        <v>619233</v>
      </c>
      <c r="U53" s="165">
        <f>U285</f>
        <v>0</v>
      </c>
      <c r="V53" s="165">
        <f>V285</f>
        <v>619120.25</v>
      </c>
      <c r="W53" s="167"/>
      <c r="X53" s="167"/>
      <c r="Y53" s="165">
        <f>Y285</f>
        <v>699028</v>
      </c>
      <c r="Z53" s="283">
        <f t="shared" si="2"/>
        <v>0.12886102646338293</v>
      </c>
      <c r="AA53" s="117">
        <f t="shared" si="3"/>
        <v>-112.75</v>
      </c>
      <c r="AB53" s="93"/>
    </row>
    <row r="54" spans="1:28" ht="15.75" customHeight="1">
      <c r="B54" s="177" t="s">
        <v>87</v>
      </c>
      <c r="C54" s="161"/>
      <c r="D54" s="161"/>
      <c r="E54" s="285" t="e">
        <f>SUM(#REF!)/2</f>
        <v>#REF!</v>
      </c>
      <c r="F54" s="313"/>
      <c r="G54" s="314"/>
      <c r="H54" s="314"/>
      <c r="I54" s="287" t="e">
        <f>SUM(I47:I53)</f>
        <v>#REF!</v>
      </c>
      <c r="J54" s="315"/>
      <c r="K54" s="287">
        <f>SUM(K47:K53)</f>
        <v>1460457.4899999998</v>
      </c>
      <c r="L54" s="315"/>
      <c r="M54" s="287">
        <f>SUM(M47:M53)</f>
        <v>1378526.58</v>
      </c>
      <c r="N54" s="287">
        <f>SUM(N47:N53)</f>
        <v>1687063.3599999999</v>
      </c>
      <c r="O54" s="315"/>
      <c r="P54" s="287">
        <f>SUM(P47:P53)</f>
        <v>1702913.99</v>
      </c>
      <c r="Q54" s="315"/>
      <c r="R54" s="242">
        <f>SUM(R47:R53)</f>
        <v>2616620.09</v>
      </c>
      <c r="S54" s="316"/>
      <c r="T54" s="242">
        <f>SUM(T47:T53)</f>
        <v>2926865.4</v>
      </c>
      <c r="U54" s="242">
        <f>SUM(U47:U53)</f>
        <v>0</v>
      </c>
      <c r="V54" s="242">
        <f>SUM(V47:V53)</f>
        <v>2964856.6999999997</v>
      </c>
      <c r="W54" s="316"/>
      <c r="X54" s="316"/>
      <c r="Y54" s="242">
        <f>SUM(Y47:Y53)</f>
        <v>3104164.12</v>
      </c>
      <c r="Z54" s="291">
        <f>(Y54-T54)/T54</f>
        <v>6.0576314852059887E-2</v>
      </c>
      <c r="AA54" s="109">
        <f>SUM(AA47:AA53)</f>
        <v>37991.299999999959</v>
      </c>
      <c r="AB54" s="101"/>
    </row>
    <row r="55" spans="1:28" ht="15.75" customHeight="1">
      <c r="B55" s="177"/>
      <c r="C55" s="161"/>
      <c r="D55" s="161"/>
      <c r="E55" s="292"/>
      <c r="F55" s="162"/>
      <c r="G55" s="163"/>
      <c r="H55" s="163"/>
      <c r="I55" s="193"/>
      <c r="J55" s="311"/>
      <c r="K55" s="193"/>
      <c r="L55" s="311"/>
      <c r="M55" s="193"/>
      <c r="N55" s="193"/>
      <c r="O55" s="311"/>
      <c r="P55" s="193"/>
      <c r="Q55" s="311"/>
      <c r="R55" s="193"/>
      <c r="S55" s="311"/>
      <c r="T55" s="193"/>
      <c r="U55" s="193"/>
      <c r="V55" s="193"/>
      <c r="W55" s="311"/>
      <c r="X55" s="311"/>
      <c r="Y55" s="193"/>
      <c r="Z55" s="317"/>
      <c r="AA55" s="93"/>
      <c r="AB55" s="93"/>
    </row>
    <row r="56" spans="1:28">
      <c r="B56" s="177" t="s">
        <v>920</v>
      </c>
      <c r="C56" s="161"/>
      <c r="D56" s="161"/>
      <c r="E56" s="162"/>
      <c r="F56" s="162"/>
      <c r="G56" s="163"/>
      <c r="H56" s="163"/>
      <c r="I56" s="193" t="e">
        <f>I44-I54</f>
        <v>#REF!</v>
      </c>
      <c r="J56" s="167"/>
      <c r="K56" s="193" t="e">
        <f>K44-K54</f>
        <v>#REF!</v>
      </c>
      <c r="L56" s="167"/>
      <c r="M56" s="193" t="e">
        <f>M44-M54</f>
        <v>#REF!</v>
      </c>
      <c r="N56" s="193">
        <f>N44-N54</f>
        <v>376648.11000000034</v>
      </c>
      <c r="O56" s="167"/>
      <c r="P56" s="193">
        <f>P44-P54</f>
        <v>522887.52999999956</v>
      </c>
      <c r="Q56" s="167"/>
      <c r="R56" s="193">
        <f>R44-R54</f>
        <v>660757.35000000009</v>
      </c>
      <c r="S56" s="167"/>
      <c r="T56" s="193">
        <f>T44-T54</f>
        <v>1722.6000000000931</v>
      </c>
      <c r="U56" s="193">
        <f>U44-U54</f>
        <v>0</v>
      </c>
      <c r="V56" s="193">
        <f>V44-V54</f>
        <v>94170.070000000298</v>
      </c>
      <c r="W56" s="167"/>
      <c r="X56" s="167"/>
      <c r="Y56" s="292">
        <f>Y44-Y54</f>
        <v>-0.12000000011175871</v>
      </c>
      <c r="Z56" s="317">
        <f>Z44-Z54</f>
        <v>-6.2387360733717756E-4</v>
      </c>
      <c r="AA56" s="93"/>
      <c r="AB56" s="93"/>
    </row>
    <row r="57" spans="1:28" ht="16.5">
      <c r="B57" s="41"/>
      <c r="I57" s="108"/>
      <c r="J57" s="97"/>
      <c r="K57" s="108"/>
      <c r="L57" s="97"/>
      <c r="M57" s="108"/>
      <c r="N57" s="108"/>
      <c r="O57" s="97"/>
      <c r="P57" s="108"/>
      <c r="Q57" s="97"/>
      <c r="R57" s="108"/>
      <c r="S57" s="97"/>
      <c r="T57" s="131"/>
      <c r="W57" s="97"/>
      <c r="X57" s="97"/>
      <c r="AA57" s="93"/>
      <c r="AB57" s="93"/>
    </row>
    <row r="58" spans="1:28" ht="15.75" customHeight="1">
      <c r="A58" s="424" t="s">
        <v>88</v>
      </c>
      <c r="B58" s="424"/>
      <c r="C58" s="424"/>
      <c r="D58" s="424"/>
      <c r="E58" s="162"/>
      <c r="F58" s="162"/>
      <c r="G58" s="163"/>
      <c r="H58" s="163"/>
      <c r="I58" s="165"/>
      <c r="J58" s="167"/>
      <c r="K58" s="165"/>
      <c r="L58" s="167"/>
      <c r="M58" s="165"/>
      <c r="N58" s="165"/>
      <c r="O58" s="167"/>
      <c r="P58" s="165"/>
      <c r="Q58" s="167"/>
      <c r="R58" s="165"/>
      <c r="S58" s="167"/>
      <c r="T58" s="311"/>
      <c r="U58" s="167"/>
      <c r="V58" s="167"/>
      <c r="W58" s="167"/>
      <c r="X58" s="167"/>
      <c r="Y58" s="311"/>
      <c r="Z58" s="312"/>
      <c r="AA58" s="93"/>
      <c r="AB58" s="93"/>
    </row>
    <row r="59" spans="1:28" ht="15.75" customHeight="1">
      <c r="A59" s="161"/>
      <c r="B59" s="161"/>
      <c r="C59" s="265" t="s">
        <v>281</v>
      </c>
      <c r="D59" s="161"/>
      <c r="E59" s="162"/>
      <c r="F59" s="162"/>
      <c r="G59" s="163"/>
      <c r="H59" s="163"/>
      <c r="I59" s="165"/>
      <c r="J59" s="167"/>
      <c r="K59" s="165"/>
      <c r="L59" s="167"/>
      <c r="M59" s="165"/>
      <c r="N59" s="165"/>
      <c r="O59" s="167"/>
      <c r="P59" s="165"/>
      <c r="Q59" s="167"/>
      <c r="R59" s="165"/>
      <c r="S59" s="167"/>
      <c r="T59" s="311"/>
      <c r="U59" s="167"/>
      <c r="V59" s="167"/>
      <c r="W59" s="167"/>
      <c r="X59" s="167"/>
      <c r="Y59" s="311"/>
      <c r="Z59" s="312"/>
    </row>
    <row r="60" spans="1:28" ht="15.75" customHeight="1">
      <c r="A60" s="161" t="s">
        <v>433</v>
      </c>
      <c r="B60" s="161"/>
      <c r="C60" s="161" t="s">
        <v>279</v>
      </c>
      <c r="D60" s="161"/>
      <c r="E60" s="162">
        <v>314795</v>
      </c>
      <c r="F60" s="162"/>
      <c r="G60" s="163"/>
      <c r="H60" s="163"/>
      <c r="I60" s="165">
        <v>211510.31</v>
      </c>
      <c r="J60" s="167"/>
      <c r="K60" s="165">
        <v>208783.34</v>
      </c>
      <c r="L60" s="167"/>
      <c r="M60" s="165">
        <v>209227.96</v>
      </c>
      <c r="N60" s="165">
        <v>246957.4</v>
      </c>
      <c r="O60" s="167"/>
      <c r="P60" s="165">
        <v>283341.39</v>
      </c>
      <c r="Q60" s="167"/>
      <c r="R60" s="165">
        <v>320652.21000000002</v>
      </c>
      <c r="S60" s="167"/>
      <c r="T60" s="167">
        <v>370118</v>
      </c>
      <c r="U60" s="282"/>
      <c r="V60" s="167">
        <v>350000</v>
      </c>
      <c r="W60" s="167"/>
      <c r="X60" s="167"/>
      <c r="Y60" s="167">
        <v>392631.87</v>
      </c>
      <c r="Z60" s="283">
        <f t="shared" ref="Z60:Z71" si="4">(Y60-T60)/T60</f>
        <v>6.0828897810968383E-2</v>
      </c>
      <c r="AA60" s="101">
        <f>Y60-T60</f>
        <v>22513.869999999995</v>
      </c>
    </row>
    <row r="61" spans="1:28" ht="15.75" customHeight="1">
      <c r="A61" s="161" t="s">
        <v>787</v>
      </c>
      <c r="B61" s="161"/>
      <c r="C61" s="161" t="s">
        <v>1240</v>
      </c>
      <c r="D61" s="161"/>
      <c r="E61" s="162"/>
      <c r="F61" s="162"/>
      <c r="G61" s="163"/>
      <c r="H61" s="163"/>
      <c r="I61" s="165">
        <v>0</v>
      </c>
      <c r="J61" s="167"/>
      <c r="K61" s="165">
        <v>69441.69</v>
      </c>
      <c r="L61" s="167"/>
      <c r="M61" s="165">
        <v>0</v>
      </c>
      <c r="N61" s="165">
        <v>38774.910000000003</v>
      </c>
      <c r="O61" s="167"/>
      <c r="P61" s="165">
        <v>3548.45</v>
      </c>
      <c r="Q61" s="167"/>
      <c r="R61" s="165">
        <v>45015.12</v>
      </c>
      <c r="S61" s="167"/>
      <c r="T61" s="167">
        <v>34944</v>
      </c>
      <c r="U61" s="282"/>
      <c r="V61" s="167">
        <v>34944</v>
      </c>
      <c r="W61" s="167"/>
      <c r="X61" s="167"/>
      <c r="Y61" s="167">
        <v>39936</v>
      </c>
      <c r="Z61" s="283">
        <f t="shared" si="4"/>
        <v>0.14285714285714285</v>
      </c>
      <c r="AA61" s="101">
        <f t="shared" ref="AA61:AA71" si="5">Y61-T61</f>
        <v>4992</v>
      </c>
    </row>
    <row r="62" spans="1:28" ht="15.75" customHeight="1">
      <c r="A62" s="161" t="s">
        <v>788</v>
      </c>
      <c r="B62" s="161"/>
      <c r="C62" s="161" t="s">
        <v>1253</v>
      </c>
      <c r="D62" s="161"/>
      <c r="E62" s="162"/>
      <c r="F62" s="162"/>
      <c r="G62" s="163"/>
      <c r="H62" s="163"/>
      <c r="I62" s="165">
        <v>0</v>
      </c>
      <c r="J62" s="167"/>
      <c r="K62" s="165">
        <v>2047.41</v>
      </c>
      <c r="L62" s="167"/>
      <c r="M62" s="165">
        <v>0</v>
      </c>
      <c r="N62" s="165">
        <v>660.96</v>
      </c>
      <c r="O62" s="167"/>
      <c r="P62" s="165">
        <v>0</v>
      </c>
      <c r="Q62" s="167"/>
      <c r="R62" s="165">
        <v>529.85</v>
      </c>
      <c r="S62" s="167"/>
      <c r="T62" s="167">
        <v>625</v>
      </c>
      <c r="U62" s="282"/>
      <c r="V62" s="167">
        <v>1500</v>
      </c>
      <c r="W62" s="167"/>
      <c r="X62" s="167"/>
      <c r="Y62" s="167">
        <v>1500</v>
      </c>
      <c r="Z62" s="283">
        <f t="shared" si="4"/>
        <v>1.4</v>
      </c>
      <c r="AA62" s="101">
        <f t="shared" si="5"/>
        <v>875</v>
      </c>
    </row>
    <row r="63" spans="1:28" ht="15.75" customHeight="1">
      <c r="A63" s="161" t="s">
        <v>157</v>
      </c>
      <c r="B63" s="161"/>
      <c r="C63" s="161" t="s">
        <v>280</v>
      </c>
      <c r="D63" s="161"/>
      <c r="E63" s="162">
        <v>314795</v>
      </c>
      <c r="F63" s="162"/>
      <c r="G63" s="163"/>
      <c r="H63" s="163"/>
      <c r="I63" s="165">
        <v>14147.42</v>
      </c>
      <c r="J63" s="167"/>
      <c r="K63" s="165">
        <v>13534.91</v>
      </c>
      <c r="L63" s="167"/>
      <c r="M63" s="165">
        <v>12686.56</v>
      </c>
      <c r="N63" s="165">
        <v>14513.29</v>
      </c>
      <c r="O63" s="167"/>
      <c r="P63" s="165">
        <v>13924.74</v>
      </c>
      <c r="Q63" s="167"/>
      <c r="R63" s="165">
        <v>17224.400000000001</v>
      </c>
      <c r="S63" s="167"/>
      <c r="T63" s="167">
        <v>16000</v>
      </c>
      <c r="U63" s="282"/>
      <c r="V63" s="167">
        <v>16000</v>
      </c>
      <c r="W63" s="167"/>
      <c r="X63" s="167"/>
      <c r="Y63" s="167">
        <v>16000</v>
      </c>
      <c r="Z63" s="283">
        <f t="shared" si="4"/>
        <v>0</v>
      </c>
      <c r="AA63" s="101">
        <f t="shared" si="5"/>
        <v>0</v>
      </c>
    </row>
    <row r="64" spans="1:28" ht="15.75" customHeight="1">
      <c r="A64" s="161" t="s">
        <v>159</v>
      </c>
      <c r="B64" s="161"/>
      <c r="C64" s="161" t="s">
        <v>66</v>
      </c>
      <c r="D64" s="161"/>
      <c r="E64" s="162"/>
      <c r="F64" s="162"/>
      <c r="G64" s="163"/>
      <c r="H64" s="163"/>
      <c r="I64" s="165">
        <v>11983.81</v>
      </c>
      <c r="J64" s="167"/>
      <c r="K64" s="165">
        <v>13117.26</v>
      </c>
      <c r="L64" s="167"/>
      <c r="M64" s="165">
        <v>13291.94</v>
      </c>
      <c r="N64" s="165">
        <v>15335.18</v>
      </c>
      <c r="O64" s="167"/>
      <c r="P64" s="165">
        <v>18074.2</v>
      </c>
      <c r="Q64" s="167"/>
      <c r="R64" s="165">
        <v>20708.87</v>
      </c>
      <c r="S64" s="167"/>
      <c r="T64" s="311">
        <v>24002</v>
      </c>
      <c r="U64" s="282"/>
      <c r="V64" s="311">
        <v>23000</v>
      </c>
      <c r="W64" s="167"/>
      <c r="X64" s="167"/>
      <c r="Y64" s="311">
        <v>25335.22</v>
      </c>
      <c r="Z64" s="283">
        <f t="shared" si="4"/>
        <v>5.5546204482959799E-2</v>
      </c>
      <c r="AA64" s="101">
        <f t="shared" si="5"/>
        <v>1333.2200000000012</v>
      </c>
    </row>
    <row r="65" spans="1:29" ht="15.75" customHeight="1">
      <c r="A65" s="161" t="s">
        <v>160</v>
      </c>
      <c r="B65" s="161"/>
      <c r="C65" s="161" t="s">
        <v>67</v>
      </c>
      <c r="D65" s="161"/>
      <c r="E65" s="162"/>
      <c r="F65" s="162"/>
      <c r="G65" s="163"/>
      <c r="H65" s="163"/>
      <c r="I65" s="165">
        <v>2801.4</v>
      </c>
      <c r="J65" s="167"/>
      <c r="K65" s="165">
        <v>3067.77</v>
      </c>
      <c r="L65" s="167"/>
      <c r="M65" s="165">
        <v>3108.58</v>
      </c>
      <c r="N65" s="165">
        <v>3586.43</v>
      </c>
      <c r="O65" s="167"/>
      <c r="P65" s="165">
        <v>4227.03</v>
      </c>
      <c r="Q65" s="167"/>
      <c r="R65" s="165">
        <v>4843.18</v>
      </c>
      <c r="S65" s="167"/>
      <c r="T65" s="311">
        <v>5614</v>
      </c>
      <c r="U65" s="282"/>
      <c r="V65" s="311">
        <v>5400</v>
      </c>
      <c r="W65" s="167"/>
      <c r="X65" s="167"/>
      <c r="Y65" s="311">
        <v>5924.5</v>
      </c>
      <c r="Z65" s="283">
        <f t="shared" si="4"/>
        <v>5.5308158175988602E-2</v>
      </c>
      <c r="AA65" s="101">
        <f t="shared" si="5"/>
        <v>310.5</v>
      </c>
    </row>
    <row r="66" spans="1:29" ht="15.75" customHeight="1">
      <c r="A66" s="161" t="s">
        <v>161</v>
      </c>
      <c r="B66" s="161"/>
      <c r="C66" s="161" t="s">
        <v>68</v>
      </c>
      <c r="D66" s="161"/>
      <c r="E66" s="162">
        <v>63302</v>
      </c>
      <c r="F66" s="162"/>
      <c r="G66" s="163"/>
      <c r="H66" s="163"/>
      <c r="I66" s="165">
        <v>39129.120000000003</v>
      </c>
      <c r="J66" s="167"/>
      <c r="K66" s="165">
        <v>47393.58</v>
      </c>
      <c r="L66" s="167"/>
      <c r="M66" s="165">
        <v>53010.09</v>
      </c>
      <c r="N66" s="165">
        <v>71622.23</v>
      </c>
      <c r="O66" s="167"/>
      <c r="P66" s="165">
        <v>59633.5</v>
      </c>
      <c r="Q66" s="167"/>
      <c r="R66" s="165">
        <v>37788.75</v>
      </c>
      <c r="S66" s="167"/>
      <c r="T66" s="311">
        <v>45413</v>
      </c>
      <c r="U66" s="282"/>
      <c r="V66" s="311">
        <v>45413</v>
      </c>
      <c r="W66" s="167"/>
      <c r="X66" s="167"/>
      <c r="Y66" s="311">
        <v>49046.58</v>
      </c>
      <c r="Z66" s="283">
        <f t="shared" si="4"/>
        <v>8.0011890868253624E-2</v>
      </c>
      <c r="AA66" s="101">
        <f t="shared" si="5"/>
        <v>3633.5800000000017</v>
      </c>
    </row>
    <row r="67" spans="1:29" ht="15.75" customHeight="1">
      <c r="A67" s="161" t="s">
        <v>163</v>
      </c>
      <c r="B67" s="161"/>
      <c r="C67" s="161" t="s">
        <v>69</v>
      </c>
      <c r="D67" s="161"/>
      <c r="E67" s="162"/>
      <c r="F67" s="162"/>
      <c r="G67" s="163"/>
      <c r="H67" s="163"/>
      <c r="I67" s="165">
        <v>1687.55</v>
      </c>
      <c r="J67" s="167"/>
      <c r="K67" s="165">
        <v>1111.23</v>
      </c>
      <c r="L67" s="167"/>
      <c r="M67" s="165">
        <v>540.85</v>
      </c>
      <c r="N67" s="165">
        <v>1211.6099999999999</v>
      </c>
      <c r="O67" s="167"/>
      <c r="P67" s="165">
        <v>1202.42</v>
      </c>
      <c r="Q67" s="167"/>
      <c r="R67" s="165">
        <v>1678.24</v>
      </c>
      <c r="S67" s="167"/>
      <c r="T67" s="311">
        <v>2142</v>
      </c>
      <c r="U67" s="282"/>
      <c r="V67" s="311">
        <v>100</v>
      </c>
      <c r="W67" s="167"/>
      <c r="X67" s="167"/>
      <c r="Y67" s="311">
        <v>787.5</v>
      </c>
      <c r="Z67" s="283">
        <f t="shared" si="4"/>
        <v>-0.63235294117647056</v>
      </c>
      <c r="AA67" s="101">
        <f t="shared" si="5"/>
        <v>-1354.5</v>
      </c>
    </row>
    <row r="68" spans="1:29" ht="15.75" customHeight="1">
      <c r="A68" s="161" t="s">
        <v>1278</v>
      </c>
      <c r="B68" s="161"/>
      <c r="C68" s="161" t="s">
        <v>1279</v>
      </c>
      <c r="D68" s="161"/>
      <c r="E68" s="162"/>
      <c r="F68" s="162"/>
      <c r="G68" s="163"/>
      <c r="H68" s="163"/>
      <c r="I68" s="165"/>
      <c r="J68" s="167"/>
      <c r="K68" s="165"/>
      <c r="L68" s="167"/>
      <c r="M68" s="165"/>
      <c r="N68" s="165"/>
      <c r="O68" s="167"/>
      <c r="P68" s="165"/>
      <c r="Q68" s="167"/>
      <c r="R68" s="165">
        <v>-3712</v>
      </c>
      <c r="S68" s="167"/>
      <c r="T68" s="311">
        <v>3000</v>
      </c>
      <c r="U68" s="282"/>
      <c r="V68" s="311">
        <v>3000</v>
      </c>
      <c r="W68" s="167"/>
      <c r="X68" s="167"/>
      <c r="Y68" s="311">
        <v>3000</v>
      </c>
      <c r="Z68" s="318">
        <f>(Y68-T68)/T68</f>
        <v>0</v>
      </c>
      <c r="AA68" s="101">
        <f t="shared" si="5"/>
        <v>0</v>
      </c>
    </row>
    <row r="69" spans="1:29" ht="15.75" customHeight="1">
      <c r="A69" s="161" t="s">
        <v>164</v>
      </c>
      <c r="B69" s="161"/>
      <c r="C69" s="161" t="s">
        <v>70</v>
      </c>
      <c r="D69" s="161"/>
      <c r="E69" s="162"/>
      <c r="F69" s="162"/>
      <c r="G69" s="163"/>
      <c r="H69" s="163"/>
      <c r="I69" s="165">
        <v>7334.59</v>
      </c>
      <c r="J69" s="167"/>
      <c r="K69" s="165">
        <v>7201.56</v>
      </c>
      <c r="L69" s="167"/>
      <c r="M69" s="165">
        <v>12118.84</v>
      </c>
      <c r="N69" s="165">
        <v>3148.65</v>
      </c>
      <c r="O69" s="167"/>
      <c r="P69" s="165">
        <v>3640.33</v>
      </c>
      <c r="Q69" s="167"/>
      <c r="R69" s="165">
        <v>-23287.200000000001</v>
      </c>
      <c r="S69" s="167"/>
      <c r="T69" s="311">
        <v>28608</v>
      </c>
      <c r="U69" s="282"/>
      <c r="V69" s="311">
        <v>28608</v>
      </c>
      <c r="W69" s="167"/>
      <c r="X69" s="167"/>
      <c r="Y69" s="311">
        <v>27962.5</v>
      </c>
      <c r="Z69" s="283">
        <f t="shared" si="4"/>
        <v>-2.2563618568232663E-2</v>
      </c>
      <c r="AA69" s="101">
        <f t="shared" si="5"/>
        <v>-645.5</v>
      </c>
    </row>
    <row r="70" spans="1:29" ht="15.75" customHeight="1">
      <c r="A70" s="161" t="s">
        <v>166</v>
      </c>
      <c r="B70" s="161"/>
      <c r="C70" s="161" t="s">
        <v>83</v>
      </c>
      <c r="D70" s="161"/>
      <c r="E70" s="162"/>
      <c r="F70" s="162"/>
      <c r="G70" s="163"/>
      <c r="H70" s="163"/>
      <c r="I70" s="165">
        <v>7290.27</v>
      </c>
      <c r="J70" s="167"/>
      <c r="K70" s="165">
        <v>8681.06</v>
      </c>
      <c r="L70" s="167"/>
      <c r="M70" s="165">
        <v>3885.28</v>
      </c>
      <c r="N70" s="165">
        <v>3033.37</v>
      </c>
      <c r="O70" s="167"/>
      <c r="P70" s="165">
        <v>3999.99</v>
      </c>
      <c r="Q70" s="167"/>
      <c r="R70" s="165">
        <v>4938.2700000000004</v>
      </c>
      <c r="S70" s="167"/>
      <c r="T70" s="165">
        <v>6108</v>
      </c>
      <c r="U70" s="282"/>
      <c r="V70" s="165">
        <v>5300</v>
      </c>
      <c r="W70" s="167"/>
      <c r="X70" s="167"/>
      <c r="Y70" s="165">
        <v>5835.17</v>
      </c>
      <c r="Z70" s="283">
        <f t="shared" si="4"/>
        <v>-4.4667648984937774E-2</v>
      </c>
      <c r="AA70" s="101">
        <f t="shared" si="5"/>
        <v>-272.82999999999993</v>
      </c>
    </row>
    <row r="71" spans="1:29" ht="15.75" customHeight="1">
      <c r="A71" s="161" t="s">
        <v>248</v>
      </c>
      <c r="B71" s="161"/>
      <c r="C71" s="161" t="s">
        <v>251</v>
      </c>
      <c r="D71" s="161"/>
      <c r="E71" s="162"/>
      <c r="F71" s="162"/>
      <c r="G71" s="163"/>
      <c r="H71" s="163"/>
      <c r="I71" s="165">
        <v>679.76</v>
      </c>
      <c r="J71" s="167"/>
      <c r="K71" s="165">
        <v>744.86</v>
      </c>
      <c r="L71" s="167"/>
      <c r="M71" s="165">
        <v>718.05</v>
      </c>
      <c r="N71" s="165">
        <v>564.32000000000005</v>
      </c>
      <c r="O71" s="167"/>
      <c r="P71" s="165">
        <v>481.56</v>
      </c>
      <c r="Q71" s="167"/>
      <c r="R71" s="165">
        <v>342</v>
      </c>
      <c r="S71" s="167"/>
      <c r="T71" s="165">
        <v>356</v>
      </c>
      <c r="U71" s="282"/>
      <c r="V71" s="165">
        <v>356</v>
      </c>
      <c r="W71" s="167"/>
      <c r="X71" s="167"/>
      <c r="Y71" s="165">
        <v>336.6</v>
      </c>
      <c r="Z71" s="283">
        <f t="shared" si="4"/>
        <v>-5.4494382022471845E-2</v>
      </c>
      <c r="AA71" s="101">
        <f t="shared" si="5"/>
        <v>-19.399999999999977</v>
      </c>
    </row>
    <row r="72" spans="1:29" s="41" customFormat="1" ht="15.75" customHeight="1">
      <c r="A72" s="177"/>
      <c r="B72" s="177"/>
      <c r="C72" s="177" t="s">
        <v>1354</v>
      </c>
      <c r="D72" s="177"/>
      <c r="E72" s="285"/>
      <c r="F72" s="285"/>
      <c r="G72" s="286"/>
      <c r="H72" s="286"/>
      <c r="I72" s="287">
        <f>SUM(I60:I71)</f>
        <v>296564.23000000004</v>
      </c>
      <c r="J72" s="288"/>
      <c r="K72" s="287">
        <f>SUM(K60:K71)</f>
        <v>375124.67</v>
      </c>
      <c r="L72" s="288"/>
      <c r="M72" s="287">
        <f>SUM(M60:M71)</f>
        <v>308588.15000000002</v>
      </c>
      <c r="N72" s="287">
        <f>SUM(N60:N71)</f>
        <v>399408.35</v>
      </c>
      <c r="O72" s="288"/>
      <c r="P72" s="287">
        <f>SUM(P60:P71)</f>
        <v>392073.61000000004</v>
      </c>
      <c r="Q72" s="288"/>
      <c r="R72" s="242">
        <f>SUM(R60:R71)</f>
        <v>426721.69</v>
      </c>
      <c r="S72" s="289"/>
      <c r="T72" s="242">
        <f>SUM(T60:T71)</f>
        <v>536930</v>
      </c>
      <c r="U72" s="289">
        <f>SUM(U60:U71)</f>
        <v>0</v>
      </c>
      <c r="V72" s="289">
        <f>SUM(V60:V71)</f>
        <v>513621</v>
      </c>
      <c r="W72" s="289"/>
      <c r="X72" s="289"/>
      <c r="Y72" s="242">
        <f>SUM(Y60:Y71)</f>
        <v>568295.93999999994</v>
      </c>
      <c r="Z72" s="291">
        <f>(Y72-T72)/T72</f>
        <v>5.8417186597880436E-2</v>
      </c>
      <c r="AA72" s="104">
        <f>SUM(AA60:AA71)</f>
        <v>31365.939999999995</v>
      </c>
      <c r="AB72" s="110"/>
      <c r="AC72" s="153"/>
    </row>
    <row r="73" spans="1:29" ht="15.75" customHeight="1">
      <c r="I73" s="96"/>
      <c r="J73" s="97"/>
      <c r="K73" s="96"/>
      <c r="L73" s="97"/>
      <c r="M73" s="96"/>
      <c r="N73" s="96"/>
      <c r="O73" s="97"/>
      <c r="P73" s="96"/>
      <c r="Q73" s="97"/>
      <c r="R73" s="96"/>
      <c r="S73" s="97"/>
      <c r="T73" s="96"/>
      <c r="W73" s="97"/>
      <c r="X73" s="97"/>
      <c r="Y73" s="96"/>
      <c r="Z73" s="134"/>
    </row>
    <row r="74" spans="1:29" s="133" customFormat="1" ht="15.75" customHeight="1">
      <c r="A74" s="271"/>
      <c r="B74" s="271"/>
      <c r="C74" s="249" t="s">
        <v>1344</v>
      </c>
      <c r="D74" s="271"/>
      <c r="E74" s="319"/>
      <c r="F74" s="319"/>
      <c r="G74" s="320"/>
      <c r="H74" s="320"/>
      <c r="I74" s="321"/>
      <c r="J74" s="322"/>
      <c r="K74" s="321"/>
      <c r="L74" s="322"/>
      <c r="M74" s="321"/>
      <c r="N74" s="321"/>
      <c r="O74" s="322"/>
      <c r="P74" s="321"/>
      <c r="Q74" s="322"/>
      <c r="R74" s="321"/>
      <c r="S74" s="322"/>
      <c r="T74" s="321"/>
      <c r="U74" s="322"/>
      <c r="V74" s="322"/>
      <c r="W74" s="322"/>
      <c r="X74" s="322"/>
      <c r="Y74" s="321"/>
      <c r="Z74" s="323"/>
      <c r="AA74" s="136"/>
      <c r="AB74" s="135"/>
    </row>
    <row r="75" spans="1:29" ht="15.75" customHeight="1">
      <c r="A75" s="161" t="s">
        <v>167</v>
      </c>
      <c r="B75" s="161"/>
      <c r="C75" s="161" t="s">
        <v>1123</v>
      </c>
      <c r="D75" s="161"/>
      <c r="E75" s="162"/>
      <c r="F75" s="162"/>
      <c r="G75" s="163"/>
      <c r="H75" s="163"/>
      <c r="I75" s="165">
        <v>6000</v>
      </c>
      <c r="J75" s="167"/>
      <c r="K75" s="165">
        <v>6500</v>
      </c>
      <c r="L75" s="167"/>
      <c r="M75" s="165">
        <v>6750</v>
      </c>
      <c r="N75" s="165">
        <v>7500</v>
      </c>
      <c r="O75" s="167"/>
      <c r="P75" s="165">
        <v>7750</v>
      </c>
      <c r="Q75" s="167"/>
      <c r="R75" s="282"/>
      <c r="S75" s="167"/>
      <c r="T75" s="282"/>
      <c r="U75" s="282"/>
      <c r="V75" s="282"/>
      <c r="W75" s="167"/>
      <c r="X75" s="167"/>
      <c r="Y75" s="282"/>
      <c r="Z75" s="283">
        <v>0</v>
      </c>
      <c r="AA75" s="101">
        <f>Y75-T75</f>
        <v>0</v>
      </c>
    </row>
    <row r="76" spans="1:29" ht="15.75" customHeight="1">
      <c r="A76" s="161" t="s">
        <v>282</v>
      </c>
      <c r="B76" s="161"/>
      <c r="C76" s="161" t="s">
        <v>368</v>
      </c>
      <c r="D76" s="161"/>
      <c r="E76" s="162"/>
      <c r="F76" s="162"/>
      <c r="G76" s="163"/>
      <c r="H76" s="163"/>
      <c r="I76" s="165">
        <v>6000</v>
      </c>
      <c r="J76" s="167"/>
      <c r="K76" s="165">
        <v>6500</v>
      </c>
      <c r="L76" s="167"/>
      <c r="M76" s="165">
        <v>6750</v>
      </c>
      <c r="N76" s="165">
        <v>7500</v>
      </c>
      <c r="O76" s="167"/>
      <c r="P76" s="165">
        <v>7750</v>
      </c>
      <c r="Q76" s="167"/>
      <c r="R76" s="165">
        <v>10500</v>
      </c>
      <c r="S76" s="167"/>
      <c r="T76" s="282">
        <v>11000</v>
      </c>
      <c r="U76" s="282"/>
      <c r="V76" s="282">
        <v>11000</v>
      </c>
      <c r="W76" s="167"/>
      <c r="X76" s="167"/>
      <c r="Y76" s="282">
        <v>11375</v>
      </c>
      <c r="Z76" s="283">
        <f t="shared" ref="Z76:Z96" si="6">(Y76-T76)/T76</f>
        <v>3.4090909090909088E-2</v>
      </c>
      <c r="AA76" s="101">
        <f t="shared" ref="AA76:AA96" si="7">Y76-T76</f>
        <v>375</v>
      </c>
    </row>
    <row r="77" spans="1:29" ht="15.75" hidden="1" customHeight="1">
      <c r="A77" s="161" t="s">
        <v>717</v>
      </c>
      <c r="B77" s="161"/>
      <c r="C77" s="161" t="s">
        <v>718</v>
      </c>
      <c r="D77" s="161"/>
      <c r="E77" s="162"/>
      <c r="F77" s="162"/>
      <c r="G77" s="163"/>
      <c r="H77" s="163"/>
      <c r="I77" s="165">
        <v>64.040000000000006</v>
      </c>
      <c r="J77" s="167"/>
      <c r="K77" s="165">
        <v>0</v>
      </c>
      <c r="L77" s="167"/>
      <c r="M77" s="165">
        <v>0</v>
      </c>
      <c r="N77" s="165"/>
      <c r="O77" s="167"/>
      <c r="P77" s="165">
        <v>0</v>
      </c>
      <c r="Q77" s="167"/>
      <c r="R77" s="165"/>
      <c r="S77" s="167"/>
      <c r="T77" s="282"/>
      <c r="U77" s="282"/>
      <c r="V77" s="282"/>
      <c r="W77" s="167"/>
      <c r="X77" s="167"/>
      <c r="Y77" s="282"/>
      <c r="Z77" s="283" t="e">
        <f t="shared" si="6"/>
        <v>#DIV/0!</v>
      </c>
      <c r="AA77" s="101">
        <f t="shared" si="7"/>
        <v>0</v>
      </c>
    </row>
    <row r="78" spans="1:29" ht="15.75" customHeight="1">
      <c r="A78" s="161" t="s">
        <v>380</v>
      </c>
      <c r="B78" s="161"/>
      <c r="C78" s="161" t="s">
        <v>463</v>
      </c>
      <c r="D78" s="161"/>
      <c r="E78" s="162"/>
      <c r="F78" s="162"/>
      <c r="G78" s="163"/>
      <c r="H78" s="163"/>
      <c r="I78" s="165">
        <v>7634.21</v>
      </c>
      <c r="J78" s="167"/>
      <c r="K78" s="165">
        <v>7946.73</v>
      </c>
      <c r="L78" s="167"/>
      <c r="M78" s="165">
        <v>9560.7199999999993</v>
      </c>
      <c r="N78" s="165">
        <v>15609.03</v>
      </c>
      <c r="O78" s="167"/>
      <c r="P78" s="165">
        <v>12747.49</v>
      </c>
      <c r="Q78" s="167"/>
      <c r="R78" s="165">
        <v>14503.94</v>
      </c>
      <c r="S78" s="167"/>
      <c r="T78" s="282">
        <v>11000</v>
      </c>
      <c r="U78" s="282"/>
      <c r="V78" s="282">
        <v>15000</v>
      </c>
      <c r="W78" s="167"/>
      <c r="X78" s="167"/>
      <c r="Y78" s="282">
        <v>11375</v>
      </c>
      <c r="Z78" s="283">
        <f t="shared" si="6"/>
        <v>3.4090909090909088E-2</v>
      </c>
      <c r="AA78" s="101">
        <f t="shared" si="7"/>
        <v>375</v>
      </c>
    </row>
    <row r="79" spans="1:29" ht="15.75" customHeight="1">
      <c r="A79" s="161" t="s">
        <v>374</v>
      </c>
      <c r="B79" s="161"/>
      <c r="C79" s="161" t="s">
        <v>384</v>
      </c>
      <c r="D79" s="161"/>
      <c r="E79" s="162"/>
      <c r="F79" s="162"/>
      <c r="G79" s="163"/>
      <c r="H79" s="163"/>
      <c r="I79" s="165">
        <v>14665.84</v>
      </c>
      <c r="J79" s="167"/>
      <c r="K79" s="165">
        <v>9848.4500000000007</v>
      </c>
      <c r="L79" s="167"/>
      <c r="M79" s="165">
        <v>10962.64</v>
      </c>
      <c r="N79" s="165">
        <v>11499.68</v>
      </c>
      <c r="O79" s="167"/>
      <c r="P79" s="165">
        <v>19939.419999999998</v>
      </c>
      <c r="Q79" s="167"/>
      <c r="R79" s="165">
        <v>14027.91</v>
      </c>
      <c r="S79" s="167"/>
      <c r="T79" s="282">
        <v>15000</v>
      </c>
      <c r="U79" s="282"/>
      <c r="V79" s="282">
        <v>12000</v>
      </c>
      <c r="W79" s="167"/>
      <c r="X79" s="167"/>
      <c r="Y79" s="282">
        <v>12000</v>
      </c>
      <c r="Z79" s="283">
        <f t="shared" si="6"/>
        <v>-0.2</v>
      </c>
      <c r="AA79" s="101">
        <f t="shared" si="7"/>
        <v>-3000</v>
      </c>
    </row>
    <row r="80" spans="1:29" ht="15.75" customHeight="1">
      <c r="A80" s="161" t="s">
        <v>375</v>
      </c>
      <c r="B80" s="161"/>
      <c r="C80" s="161" t="s">
        <v>385</v>
      </c>
      <c r="D80" s="161"/>
      <c r="E80" s="162"/>
      <c r="F80" s="162"/>
      <c r="G80" s="163"/>
      <c r="H80" s="163"/>
      <c r="I80" s="165">
        <v>4071.57</v>
      </c>
      <c r="J80" s="311"/>
      <c r="K80" s="165">
        <v>4292.78</v>
      </c>
      <c r="L80" s="311"/>
      <c r="M80" s="165">
        <v>4346.46</v>
      </c>
      <c r="N80" s="165">
        <v>4190.3500000000004</v>
      </c>
      <c r="O80" s="311"/>
      <c r="P80" s="165">
        <v>13764.74</v>
      </c>
      <c r="Q80" s="311"/>
      <c r="R80" s="165">
        <v>3259.09</v>
      </c>
      <c r="S80" s="311"/>
      <c r="T80" s="282">
        <v>3500</v>
      </c>
      <c r="U80" s="282"/>
      <c r="V80" s="282">
        <v>4350</v>
      </c>
      <c r="W80" s="311"/>
      <c r="X80" s="311"/>
      <c r="Y80" s="282">
        <v>4800</v>
      </c>
      <c r="Z80" s="283">
        <f t="shared" si="6"/>
        <v>0.37142857142857144</v>
      </c>
      <c r="AA80" s="101">
        <f t="shared" si="7"/>
        <v>1300</v>
      </c>
    </row>
    <row r="81" spans="1:27" ht="15.75" customHeight="1">
      <c r="A81" s="161" t="s">
        <v>168</v>
      </c>
      <c r="B81" s="161"/>
      <c r="C81" s="161" t="s">
        <v>370</v>
      </c>
      <c r="D81" s="161"/>
      <c r="E81" s="162">
        <v>17417</v>
      </c>
      <c r="F81" s="162"/>
      <c r="G81" s="163"/>
      <c r="H81" s="163"/>
      <c r="I81" s="165">
        <v>1388.7</v>
      </c>
      <c r="J81" s="167"/>
      <c r="K81" s="165">
        <v>1722.64</v>
      </c>
      <c r="L81" s="167"/>
      <c r="M81" s="165">
        <v>525</v>
      </c>
      <c r="N81" s="165">
        <v>0</v>
      </c>
      <c r="O81" s="167"/>
      <c r="P81" s="165">
        <v>211.75</v>
      </c>
      <c r="Q81" s="167"/>
      <c r="R81" s="165">
        <v>315</v>
      </c>
      <c r="S81" s="167"/>
      <c r="T81" s="282">
        <v>500</v>
      </c>
      <c r="U81" s="282"/>
      <c r="V81" s="282">
        <v>500</v>
      </c>
      <c r="W81" s="167"/>
      <c r="X81" s="167"/>
      <c r="Y81" s="282">
        <v>500</v>
      </c>
      <c r="Z81" s="283">
        <f t="shared" si="6"/>
        <v>0</v>
      </c>
      <c r="AA81" s="101">
        <f t="shared" si="7"/>
        <v>0</v>
      </c>
    </row>
    <row r="82" spans="1:27" ht="15.75" customHeight="1">
      <c r="A82" s="161" t="s">
        <v>376</v>
      </c>
      <c r="B82" s="161"/>
      <c r="C82" s="161" t="s">
        <v>72</v>
      </c>
      <c r="D82" s="161"/>
      <c r="E82" s="162"/>
      <c r="F82" s="162"/>
      <c r="G82" s="163"/>
      <c r="H82" s="163"/>
      <c r="I82" s="165">
        <v>499.93</v>
      </c>
      <c r="J82" s="311"/>
      <c r="K82" s="165">
        <v>243.99</v>
      </c>
      <c r="L82" s="311"/>
      <c r="M82" s="165">
        <v>1645.1</v>
      </c>
      <c r="N82" s="165">
        <v>322.5</v>
      </c>
      <c r="O82" s="311"/>
      <c r="P82" s="165">
        <v>1785.78</v>
      </c>
      <c r="Q82" s="311"/>
      <c r="R82" s="165">
        <v>3394.22</v>
      </c>
      <c r="S82" s="311"/>
      <c r="T82" s="282">
        <v>3000</v>
      </c>
      <c r="U82" s="282"/>
      <c r="V82" s="282">
        <v>3500</v>
      </c>
      <c r="W82" s="311"/>
      <c r="X82" s="311"/>
      <c r="Y82" s="282">
        <v>3500</v>
      </c>
      <c r="Z82" s="283">
        <f t="shared" si="6"/>
        <v>0.16666666666666666</v>
      </c>
      <c r="AA82" s="101">
        <f t="shared" si="7"/>
        <v>500</v>
      </c>
    </row>
    <row r="83" spans="1:27" ht="15.75" customHeight="1">
      <c r="A83" s="161" t="s">
        <v>377</v>
      </c>
      <c r="B83" s="161"/>
      <c r="C83" s="161" t="s">
        <v>73</v>
      </c>
      <c r="D83" s="161"/>
      <c r="E83" s="162"/>
      <c r="F83" s="162"/>
      <c r="G83" s="163"/>
      <c r="H83" s="163"/>
      <c r="I83" s="165">
        <v>230.33</v>
      </c>
      <c r="J83" s="167"/>
      <c r="K83" s="165">
        <v>493.89</v>
      </c>
      <c r="L83" s="167"/>
      <c r="M83" s="165">
        <v>654.65</v>
      </c>
      <c r="N83" s="165">
        <v>1316.67</v>
      </c>
      <c r="O83" s="167"/>
      <c r="P83" s="165">
        <v>1566.79</v>
      </c>
      <c r="Q83" s="167"/>
      <c r="R83" s="165">
        <v>996.49</v>
      </c>
      <c r="S83" s="167"/>
      <c r="T83" s="282">
        <v>1100</v>
      </c>
      <c r="U83" s="282"/>
      <c r="V83" s="282">
        <v>1000</v>
      </c>
      <c r="W83" s="167"/>
      <c r="X83" s="167"/>
      <c r="Y83" s="282">
        <v>1000</v>
      </c>
      <c r="Z83" s="283">
        <f t="shared" si="6"/>
        <v>-9.0909090909090912E-2</v>
      </c>
      <c r="AA83" s="101">
        <f t="shared" si="7"/>
        <v>-100</v>
      </c>
    </row>
    <row r="84" spans="1:27" ht="15.75" customHeight="1">
      <c r="A84" s="161" t="s">
        <v>378</v>
      </c>
      <c r="B84" s="161"/>
      <c r="C84" s="161" t="s">
        <v>696</v>
      </c>
      <c r="D84" s="161"/>
      <c r="E84" s="162"/>
      <c r="F84" s="162"/>
      <c r="G84" s="163"/>
      <c r="H84" s="163"/>
      <c r="I84" s="165">
        <v>7646.5</v>
      </c>
      <c r="J84" s="167"/>
      <c r="K84" s="165">
        <v>8208</v>
      </c>
      <c r="L84" s="167"/>
      <c r="M84" s="165">
        <v>8611</v>
      </c>
      <c r="N84" s="165">
        <v>9531</v>
      </c>
      <c r="O84" s="167"/>
      <c r="P84" s="165">
        <v>12642</v>
      </c>
      <c r="Q84" s="167"/>
      <c r="R84" s="165">
        <v>21513.5</v>
      </c>
      <c r="S84" s="167"/>
      <c r="T84" s="282">
        <v>22000</v>
      </c>
      <c r="U84" s="282"/>
      <c r="V84" s="282">
        <v>20511</v>
      </c>
      <c r="W84" s="167"/>
      <c r="X84" s="167"/>
      <c r="Y84" s="282">
        <v>21000</v>
      </c>
      <c r="Z84" s="283">
        <f t="shared" si="6"/>
        <v>-4.5454545454545456E-2</v>
      </c>
      <c r="AA84" s="101">
        <f t="shared" si="7"/>
        <v>-1000</v>
      </c>
    </row>
    <row r="85" spans="1:27" ht="15.75" customHeight="1">
      <c r="A85" s="161" t="s">
        <v>379</v>
      </c>
      <c r="B85" s="161"/>
      <c r="C85" s="161" t="s">
        <v>389</v>
      </c>
      <c r="D85" s="161"/>
      <c r="E85" s="162"/>
      <c r="F85" s="162"/>
      <c r="G85" s="163"/>
      <c r="H85" s="163"/>
      <c r="I85" s="165">
        <v>4989.51</v>
      </c>
      <c r="J85" s="167"/>
      <c r="K85" s="165">
        <v>4453.04</v>
      </c>
      <c r="L85" s="167"/>
      <c r="M85" s="165">
        <v>5852.32</v>
      </c>
      <c r="N85" s="165">
        <v>3460.58</v>
      </c>
      <c r="O85" s="167"/>
      <c r="P85" s="165">
        <v>6913.87</v>
      </c>
      <c r="Q85" s="167"/>
      <c r="R85" s="165">
        <v>6818.3</v>
      </c>
      <c r="S85" s="167"/>
      <c r="T85" s="282">
        <v>7000</v>
      </c>
      <c r="U85" s="282"/>
      <c r="V85" s="282">
        <v>6753.73</v>
      </c>
      <c r="W85" s="167"/>
      <c r="X85" s="167"/>
      <c r="Y85" s="282">
        <v>7000</v>
      </c>
      <c r="Z85" s="283">
        <f t="shared" si="6"/>
        <v>0</v>
      </c>
      <c r="AA85" s="101">
        <f t="shared" si="7"/>
        <v>0</v>
      </c>
    </row>
    <row r="86" spans="1:27" ht="15.75" customHeight="1">
      <c r="A86" s="161" t="s">
        <v>1223</v>
      </c>
      <c r="B86" s="161"/>
      <c r="C86" s="161" t="s">
        <v>1224</v>
      </c>
      <c r="D86" s="161"/>
      <c r="E86" s="162"/>
      <c r="F86" s="162"/>
      <c r="G86" s="163"/>
      <c r="H86" s="163"/>
      <c r="I86" s="165">
        <v>386</v>
      </c>
      <c r="J86" s="167"/>
      <c r="K86" s="165">
        <v>1399</v>
      </c>
      <c r="L86" s="167"/>
      <c r="M86" s="165">
        <v>0</v>
      </c>
      <c r="N86" s="165"/>
      <c r="O86" s="167"/>
      <c r="P86" s="165">
        <v>1625</v>
      </c>
      <c r="Q86" s="167"/>
      <c r="R86" s="165">
        <v>15356.33</v>
      </c>
      <c r="S86" s="167"/>
      <c r="T86" s="282">
        <v>16000</v>
      </c>
      <c r="U86" s="282"/>
      <c r="V86" s="282">
        <v>19000</v>
      </c>
      <c r="W86" s="167"/>
      <c r="X86" s="167"/>
      <c r="Y86" s="282">
        <v>19000</v>
      </c>
      <c r="Z86" s="283">
        <f t="shared" si="6"/>
        <v>0.1875</v>
      </c>
      <c r="AA86" s="101">
        <f t="shared" si="7"/>
        <v>3000</v>
      </c>
    </row>
    <row r="87" spans="1:27" ht="15.75" customHeight="1">
      <c r="A87" s="161" t="s">
        <v>1399</v>
      </c>
      <c r="B87" s="161"/>
      <c r="C87" s="161" t="s">
        <v>367</v>
      </c>
      <c r="D87" s="161"/>
      <c r="E87" s="162"/>
      <c r="F87" s="162"/>
      <c r="G87" s="163"/>
      <c r="H87" s="163"/>
      <c r="I87" s="165"/>
      <c r="J87" s="167"/>
      <c r="K87" s="165"/>
      <c r="L87" s="167"/>
      <c r="M87" s="165"/>
      <c r="N87" s="165"/>
      <c r="O87" s="167"/>
      <c r="P87" s="165"/>
      <c r="Q87" s="167"/>
      <c r="R87" s="165">
        <v>316.35000000000002</v>
      </c>
      <c r="S87" s="167"/>
      <c r="T87" s="282">
        <v>0</v>
      </c>
      <c r="U87" s="282"/>
      <c r="V87" s="282">
        <v>0</v>
      </c>
      <c r="W87" s="167"/>
      <c r="X87" s="167"/>
      <c r="Y87" s="282">
        <v>0</v>
      </c>
      <c r="Z87" s="283" t="e">
        <f t="shared" si="6"/>
        <v>#DIV/0!</v>
      </c>
      <c r="AA87" s="101">
        <f t="shared" si="7"/>
        <v>0</v>
      </c>
    </row>
    <row r="88" spans="1:27" ht="15.75" customHeight="1">
      <c r="A88" s="161" t="s">
        <v>1196</v>
      </c>
      <c r="B88" s="161"/>
      <c r="C88" s="161" t="s">
        <v>697</v>
      </c>
      <c r="D88" s="161"/>
      <c r="E88" s="162"/>
      <c r="F88" s="162"/>
      <c r="G88" s="163"/>
      <c r="H88" s="163"/>
      <c r="I88" s="165">
        <v>386</v>
      </c>
      <c r="J88" s="167"/>
      <c r="K88" s="165">
        <v>1399</v>
      </c>
      <c r="L88" s="167"/>
      <c r="M88" s="165">
        <v>0</v>
      </c>
      <c r="N88" s="165"/>
      <c r="O88" s="167"/>
      <c r="P88" s="165">
        <v>1625</v>
      </c>
      <c r="Q88" s="167"/>
      <c r="R88" s="165">
        <v>500</v>
      </c>
      <c r="S88" s="167"/>
      <c r="T88" s="282">
        <v>500</v>
      </c>
      <c r="U88" s="282"/>
      <c r="V88" s="282">
        <v>2125</v>
      </c>
      <c r="W88" s="167"/>
      <c r="X88" s="167"/>
      <c r="Y88" s="282">
        <v>500</v>
      </c>
      <c r="Z88" s="283">
        <f t="shared" si="6"/>
        <v>0</v>
      </c>
      <c r="AA88" s="101">
        <f>Y88-T88</f>
        <v>0</v>
      </c>
    </row>
    <row r="89" spans="1:27" ht="15.75" customHeight="1">
      <c r="A89" s="161" t="s">
        <v>170</v>
      </c>
      <c r="B89" s="161"/>
      <c r="C89" s="161" t="s">
        <v>462</v>
      </c>
      <c r="D89" s="161"/>
      <c r="E89" s="162"/>
      <c r="F89" s="162"/>
      <c r="G89" s="163"/>
      <c r="H89" s="163"/>
      <c r="I89" s="165">
        <v>386</v>
      </c>
      <c r="J89" s="167"/>
      <c r="K89" s="165">
        <v>198</v>
      </c>
      <c r="L89" s="167"/>
      <c r="M89" s="165">
        <v>0</v>
      </c>
      <c r="N89" s="165">
        <v>17.5</v>
      </c>
      <c r="O89" s="167"/>
      <c r="P89" s="165">
        <v>235.23</v>
      </c>
      <c r="Q89" s="167"/>
      <c r="R89" s="165">
        <v>134.77000000000001</v>
      </c>
      <c r="S89" s="167"/>
      <c r="T89" s="282">
        <v>1000</v>
      </c>
      <c r="U89" s="282"/>
      <c r="V89" s="282">
        <v>500</v>
      </c>
      <c r="W89" s="167"/>
      <c r="X89" s="167"/>
      <c r="Y89" s="282">
        <v>1000</v>
      </c>
      <c r="Z89" s="283">
        <f t="shared" si="6"/>
        <v>0</v>
      </c>
      <c r="AA89" s="101">
        <f t="shared" si="7"/>
        <v>0</v>
      </c>
    </row>
    <row r="90" spans="1:27" ht="15.75" customHeight="1">
      <c r="A90" s="161" t="s">
        <v>695</v>
      </c>
      <c r="B90" s="161"/>
      <c r="C90" s="161" t="s">
        <v>643</v>
      </c>
      <c r="D90" s="161"/>
      <c r="E90" s="162"/>
      <c r="F90" s="162"/>
      <c r="G90" s="163"/>
      <c r="H90" s="163"/>
      <c r="I90" s="165">
        <v>2684.76</v>
      </c>
      <c r="J90" s="167"/>
      <c r="K90" s="165">
        <v>-34.159999999999997</v>
      </c>
      <c r="L90" s="167"/>
      <c r="M90" s="165">
        <v>-174.33</v>
      </c>
      <c r="N90" s="165">
        <v>-30.54</v>
      </c>
      <c r="O90" s="167"/>
      <c r="P90" s="165">
        <v>3906.59</v>
      </c>
      <c r="Q90" s="167"/>
      <c r="R90" s="165">
        <v>3956.2</v>
      </c>
      <c r="S90" s="167"/>
      <c r="T90" s="282">
        <v>3500</v>
      </c>
      <c r="U90" s="282"/>
      <c r="V90" s="282">
        <v>4000</v>
      </c>
      <c r="W90" s="167"/>
      <c r="X90" s="167"/>
      <c r="Y90" s="282">
        <v>4000</v>
      </c>
      <c r="Z90" s="283">
        <f t="shared" si="6"/>
        <v>0.14285714285714285</v>
      </c>
      <c r="AA90" s="101">
        <f t="shared" si="7"/>
        <v>500</v>
      </c>
    </row>
    <row r="91" spans="1:27" ht="15.75" customHeight="1">
      <c r="A91" s="161" t="s">
        <v>301</v>
      </c>
      <c r="B91" s="161"/>
      <c r="C91" s="161" t="s">
        <v>797</v>
      </c>
      <c r="D91" s="161"/>
      <c r="E91" s="162"/>
      <c r="F91" s="162"/>
      <c r="G91" s="163"/>
      <c r="H91" s="163"/>
      <c r="I91" s="165">
        <v>21008.36</v>
      </c>
      <c r="J91" s="168"/>
      <c r="K91" s="165">
        <v>8969.1</v>
      </c>
      <c r="L91" s="168"/>
      <c r="M91" s="165">
        <v>6711.23</v>
      </c>
      <c r="N91" s="165">
        <v>10063.85</v>
      </c>
      <c r="O91" s="168"/>
      <c r="P91" s="165">
        <v>14564.35</v>
      </c>
      <c r="Q91" s="168"/>
      <c r="R91" s="165">
        <v>34686.04</v>
      </c>
      <c r="S91" s="168"/>
      <c r="T91" s="282">
        <v>37675</v>
      </c>
      <c r="U91" s="282"/>
      <c r="V91" s="282">
        <v>35940</v>
      </c>
      <c r="W91" s="168"/>
      <c r="X91" s="168"/>
      <c r="Y91" s="282">
        <v>37000</v>
      </c>
      <c r="Z91" s="283">
        <f t="shared" si="6"/>
        <v>-1.7916390179163903E-2</v>
      </c>
      <c r="AA91" s="101">
        <f>Y91-T91</f>
        <v>-675</v>
      </c>
    </row>
    <row r="92" spans="1:27" ht="15.75" customHeight="1">
      <c r="A92" s="161" t="s">
        <v>121</v>
      </c>
      <c r="B92" s="161"/>
      <c r="C92" s="161" t="s">
        <v>122</v>
      </c>
      <c r="D92" s="161"/>
      <c r="E92" s="162"/>
      <c r="F92" s="162"/>
      <c r="G92" s="163"/>
      <c r="H92" s="163"/>
      <c r="I92" s="165">
        <v>1000</v>
      </c>
      <c r="J92" s="311"/>
      <c r="K92" s="165">
        <v>1000</v>
      </c>
      <c r="L92" s="311"/>
      <c r="M92" s="165">
        <v>1000</v>
      </c>
      <c r="N92" s="165">
        <v>1000</v>
      </c>
      <c r="O92" s="311"/>
      <c r="P92" s="165">
        <v>1100</v>
      </c>
      <c r="Q92" s="311"/>
      <c r="R92" s="165">
        <v>0</v>
      </c>
      <c r="S92" s="311"/>
      <c r="T92" s="282">
        <v>1100</v>
      </c>
      <c r="U92" s="282"/>
      <c r="V92" s="282">
        <v>1100</v>
      </c>
      <c r="W92" s="311"/>
      <c r="X92" s="311"/>
      <c r="Y92" s="282">
        <v>1100</v>
      </c>
      <c r="Z92" s="283">
        <f t="shared" si="6"/>
        <v>0</v>
      </c>
      <c r="AA92" s="101">
        <f t="shared" si="7"/>
        <v>0</v>
      </c>
    </row>
    <row r="93" spans="1:27" ht="15.75" customHeight="1">
      <c r="A93" s="161" t="s">
        <v>302</v>
      </c>
      <c r="B93" s="161"/>
      <c r="C93" s="161" t="s">
        <v>272</v>
      </c>
      <c r="D93" s="161"/>
      <c r="E93" s="162"/>
      <c r="F93" s="162"/>
      <c r="G93" s="163"/>
      <c r="H93" s="163"/>
      <c r="I93" s="165">
        <v>2162.5</v>
      </c>
      <c r="J93" s="311"/>
      <c r="K93" s="165">
        <v>3364.05</v>
      </c>
      <c r="L93" s="311"/>
      <c r="M93" s="165">
        <v>3154.05</v>
      </c>
      <c r="N93" s="165">
        <v>3154.05</v>
      </c>
      <c r="O93" s="311"/>
      <c r="P93" s="165">
        <v>3891.5</v>
      </c>
      <c r="Q93" s="311"/>
      <c r="R93" s="165">
        <v>4726.05</v>
      </c>
      <c r="S93" s="311"/>
      <c r="T93" s="282">
        <v>5000</v>
      </c>
      <c r="U93" s="282"/>
      <c r="V93" s="282">
        <v>4726.05</v>
      </c>
      <c r="W93" s="311"/>
      <c r="X93" s="311"/>
      <c r="Y93" s="282">
        <v>5000</v>
      </c>
      <c r="Z93" s="283">
        <f t="shared" si="6"/>
        <v>0</v>
      </c>
      <c r="AA93" s="101">
        <f t="shared" si="7"/>
        <v>0</v>
      </c>
    </row>
    <row r="94" spans="1:27" ht="15.75" customHeight="1">
      <c r="A94" s="161" t="s">
        <v>452</v>
      </c>
      <c r="B94" s="161"/>
      <c r="C94" s="161" t="s">
        <v>1417</v>
      </c>
      <c r="D94" s="161"/>
      <c r="E94" s="162"/>
      <c r="F94" s="162"/>
      <c r="G94" s="163"/>
      <c r="H94" s="163"/>
      <c r="I94" s="165">
        <v>62986</v>
      </c>
      <c r="J94" s="167"/>
      <c r="K94" s="165">
        <v>59168</v>
      </c>
      <c r="L94" s="167"/>
      <c r="M94" s="165">
        <v>61615</v>
      </c>
      <c r="N94" s="165">
        <v>69178</v>
      </c>
      <c r="O94" s="167"/>
      <c r="P94" s="165">
        <v>91183</v>
      </c>
      <c r="Q94" s="167"/>
      <c r="R94" s="165">
        <v>101378</v>
      </c>
      <c r="S94" s="167"/>
      <c r="T94" s="282">
        <v>132533</v>
      </c>
      <c r="U94" s="282"/>
      <c r="V94" s="282">
        <v>132533</v>
      </c>
      <c r="W94" s="167"/>
      <c r="X94" s="167"/>
      <c r="Y94" s="282">
        <v>135538</v>
      </c>
      <c r="Z94" s="283">
        <f t="shared" si="6"/>
        <v>2.2673598273637508E-2</v>
      </c>
      <c r="AA94" s="101">
        <f t="shared" si="7"/>
        <v>3005</v>
      </c>
    </row>
    <row r="95" spans="1:27" ht="15.75" customHeight="1">
      <c r="A95" s="161" t="s">
        <v>1400</v>
      </c>
      <c r="B95" s="161"/>
      <c r="C95" s="161" t="s">
        <v>1401</v>
      </c>
      <c r="D95" s="161"/>
      <c r="E95" s="162"/>
      <c r="F95" s="162"/>
      <c r="G95" s="163"/>
      <c r="H95" s="163"/>
      <c r="I95" s="165"/>
      <c r="J95" s="167"/>
      <c r="K95" s="165"/>
      <c r="L95" s="167"/>
      <c r="M95" s="165"/>
      <c r="N95" s="165"/>
      <c r="O95" s="167"/>
      <c r="P95" s="165"/>
      <c r="Q95" s="167"/>
      <c r="R95" s="165">
        <v>0</v>
      </c>
      <c r="S95" s="167"/>
      <c r="T95" s="282">
        <v>0</v>
      </c>
      <c r="U95" s="282"/>
      <c r="V95" s="282">
        <v>108534.98</v>
      </c>
      <c r="W95" s="167"/>
      <c r="X95" s="167"/>
      <c r="Y95" s="282">
        <v>125000</v>
      </c>
      <c r="Z95" s="283" t="e">
        <f t="shared" si="6"/>
        <v>#DIV/0!</v>
      </c>
      <c r="AA95" s="101">
        <f t="shared" si="7"/>
        <v>125000</v>
      </c>
    </row>
    <row r="96" spans="1:27" ht="15.75" hidden="1" customHeight="1">
      <c r="A96" s="161" t="s">
        <v>129</v>
      </c>
      <c r="B96" s="161"/>
      <c r="C96" s="161" t="s">
        <v>297</v>
      </c>
      <c r="D96" s="161"/>
      <c r="E96" s="162"/>
      <c r="F96" s="162"/>
      <c r="G96" s="163"/>
      <c r="H96" s="163"/>
      <c r="I96" s="165">
        <v>43827.35</v>
      </c>
      <c r="J96" s="167"/>
      <c r="K96" s="165">
        <v>55648.03</v>
      </c>
      <c r="L96" s="167"/>
      <c r="M96" s="165">
        <v>56450</v>
      </c>
      <c r="N96" s="165">
        <v>56703</v>
      </c>
      <c r="O96" s="167"/>
      <c r="P96" s="165">
        <v>52819</v>
      </c>
      <c r="Q96" s="167"/>
      <c r="R96" s="165"/>
      <c r="S96" s="167"/>
      <c r="T96" s="282"/>
      <c r="U96" s="282"/>
      <c r="V96" s="282"/>
      <c r="W96" s="167"/>
      <c r="X96" s="167"/>
      <c r="Y96" s="282"/>
      <c r="Z96" s="283" t="e">
        <f t="shared" si="6"/>
        <v>#DIV/0!</v>
      </c>
      <c r="AA96" s="101">
        <f t="shared" si="7"/>
        <v>0</v>
      </c>
    </row>
    <row r="97" spans="1:28" s="41" customFormat="1" ht="15.75" customHeight="1">
      <c r="A97" s="177"/>
      <c r="B97" s="177"/>
      <c r="C97" s="177" t="s">
        <v>1355</v>
      </c>
      <c r="D97" s="177"/>
      <c r="E97" s="285"/>
      <c r="F97" s="285"/>
      <c r="G97" s="286"/>
      <c r="H97" s="286"/>
      <c r="I97" s="287">
        <f>SUM(I76:I94)</f>
        <v>138190.25</v>
      </c>
      <c r="J97" s="288"/>
      <c r="K97" s="287">
        <f>SUM(K76:K94)</f>
        <v>119172.51</v>
      </c>
      <c r="L97" s="288"/>
      <c r="M97" s="287">
        <f>SUM(M76:M94)</f>
        <v>121213.84</v>
      </c>
      <c r="N97" s="287">
        <f>SUM(N76:N94)</f>
        <v>136812.66999999998</v>
      </c>
      <c r="O97" s="288"/>
      <c r="P97" s="287">
        <f>SUM(P76:P94)</f>
        <v>195452.51</v>
      </c>
      <c r="Q97" s="288"/>
      <c r="R97" s="242">
        <f>SUM(R75:R96)</f>
        <v>236382.19</v>
      </c>
      <c r="S97" s="289"/>
      <c r="T97" s="242">
        <f>SUM(T75:T96)</f>
        <v>271408</v>
      </c>
      <c r="U97" s="242">
        <f>SUM(U75:U94)</f>
        <v>0</v>
      </c>
      <c r="V97" s="242">
        <f>SUM(V75:V96)</f>
        <v>383073.75999999995</v>
      </c>
      <c r="W97" s="289"/>
      <c r="X97" s="289"/>
      <c r="Y97" s="242">
        <f>SUM(Y75:Y96)</f>
        <v>400688</v>
      </c>
      <c r="Z97" s="291">
        <f>(Y97-T97)/T97</f>
        <v>0.47633083770559453</v>
      </c>
      <c r="AA97" s="104">
        <f>SUM(AA76:AA94)</f>
        <v>4280</v>
      </c>
      <c r="AB97" s="107"/>
    </row>
    <row r="98" spans="1:28" ht="15.75" customHeight="1">
      <c r="I98" s="96"/>
      <c r="J98" s="97"/>
      <c r="K98" s="96"/>
      <c r="L98" s="97"/>
      <c r="M98" s="96"/>
      <c r="N98" s="96"/>
      <c r="O98" s="97"/>
      <c r="P98" s="96"/>
      <c r="Q98" s="97"/>
      <c r="R98" s="96"/>
      <c r="S98" s="97"/>
      <c r="W98" s="97"/>
      <c r="X98" s="97"/>
      <c r="Y98" s="97"/>
      <c r="Z98" s="115"/>
    </row>
    <row r="99" spans="1:28" ht="15.75" customHeight="1">
      <c r="A99" s="161"/>
      <c r="B99" s="161"/>
      <c r="C99" s="265" t="s">
        <v>284</v>
      </c>
      <c r="D99" s="161"/>
      <c r="E99" s="292"/>
      <c r="F99" s="292"/>
      <c r="G99" s="170"/>
      <c r="H99" s="170"/>
      <c r="I99" s="193"/>
      <c r="J99" s="168"/>
      <c r="K99" s="193"/>
      <c r="L99" s="168"/>
      <c r="M99" s="193"/>
      <c r="N99" s="193"/>
      <c r="O99" s="168"/>
      <c r="P99" s="193"/>
      <c r="Q99" s="168"/>
      <c r="R99" s="193"/>
      <c r="S99" s="168"/>
      <c r="T99" s="193"/>
      <c r="U99" s="193"/>
      <c r="V99" s="193"/>
      <c r="W99" s="168"/>
      <c r="X99" s="168"/>
      <c r="Y99" s="193"/>
      <c r="Z99" s="283"/>
    </row>
    <row r="100" spans="1:28" s="137" customFormat="1" ht="15.75" customHeight="1">
      <c r="A100" s="324" t="s">
        <v>286</v>
      </c>
      <c r="B100" s="324"/>
      <c r="C100" s="324" t="s">
        <v>435</v>
      </c>
      <c r="D100" s="324"/>
      <c r="E100" s="325"/>
      <c r="F100" s="325"/>
      <c r="G100" s="326"/>
      <c r="H100" s="326"/>
      <c r="I100" s="327">
        <v>76723.12</v>
      </c>
      <c r="J100" s="328"/>
      <c r="K100" s="327">
        <v>53808.39</v>
      </c>
      <c r="L100" s="328"/>
      <c r="M100" s="327">
        <v>62029.39</v>
      </c>
      <c r="N100" s="327">
        <v>93131.75</v>
      </c>
      <c r="O100" s="328"/>
      <c r="P100" s="327">
        <v>85602.35</v>
      </c>
      <c r="Q100" s="328"/>
      <c r="R100" s="327">
        <v>119061.99</v>
      </c>
      <c r="S100" s="328"/>
      <c r="T100" s="282">
        <v>120000</v>
      </c>
      <c r="U100" s="282"/>
      <c r="V100" s="282">
        <v>50000</v>
      </c>
      <c r="W100" s="328"/>
      <c r="X100" s="328"/>
      <c r="Y100" s="282">
        <v>115000</v>
      </c>
      <c r="Z100" s="283">
        <f t="shared" ref="Z100:Z108" si="8">(Y100-T100)/T100</f>
        <v>-4.1666666666666664E-2</v>
      </c>
      <c r="AA100" s="101">
        <f t="shared" ref="AA100:AA108" si="9">Y100-T100</f>
        <v>-5000</v>
      </c>
      <c r="AB100" s="138"/>
    </row>
    <row r="101" spans="1:28" ht="15.75" customHeight="1">
      <c r="A101" s="161" t="s">
        <v>287</v>
      </c>
      <c r="B101" s="161"/>
      <c r="C101" s="161" t="s">
        <v>120</v>
      </c>
      <c r="D101" s="161"/>
      <c r="E101" s="162"/>
      <c r="F101" s="162"/>
      <c r="G101" s="163"/>
      <c r="H101" s="163"/>
      <c r="I101" s="165">
        <v>7163.48</v>
      </c>
      <c r="J101" s="168"/>
      <c r="K101" s="165">
        <v>9961.67</v>
      </c>
      <c r="L101" s="168"/>
      <c r="M101" s="165">
        <v>6879.37</v>
      </c>
      <c r="N101" s="165">
        <v>3934.12</v>
      </c>
      <c r="O101" s="168"/>
      <c r="P101" s="165">
        <v>2385.21</v>
      </c>
      <c r="Q101" s="168"/>
      <c r="R101" s="165">
        <v>15873.21</v>
      </c>
      <c r="S101" s="168"/>
      <c r="T101" s="282">
        <v>12000</v>
      </c>
      <c r="U101" s="282"/>
      <c r="V101" s="282">
        <v>7500</v>
      </c>
      <c r="W101" s="168"/>
      <c r="X101" s="168"/>
      <c r="Y101" s="282">
        <v>12000</v>
      </c>
      <c r="Z101" s="283">
        <f t="shared" si="8"/>
        <v>0</v>
      </c>
      <c r="AA101" s="101">
        <f t="shared" si="9"/>
        <v>0</v>
      </c>
    </row>
    <row r="102" spans="1:28" ht="15.75" customHeight="1">
      <c r="A102" s="161" t="s">
        <v>288</v>
      </c>
      <c r="B102" s="161"/>
      <c r="C102" s="161" t="s">
        <v>1408</v>
      </c>
      <c r="D102" s="161"/>
      <c r="E102" s="162"/>
      <c r="F102" s="162"/>
      <c r="G102" s="163"/>
      <c r="H102" s="163"/>
      <c r="I102" s="165">
        <v>3959.79</v>
      </c>
      <c r="J102" s="168"/>
      <c r="K102" s="165">
        <v>3666.88</v>
      </c>
      <c r="L102" s="168"/>
      <c r="M102" s="165">
        <v>3483.47</v>
      </c>
      <c r="N102" s="165">
        <v>3381.64</v>
      </c>
      <c r="O102" s="168"/>
      <c r="P102" s="165">
        <v>4419.24</v>
      </c>
      <c r="Q102" s="168"/>
      <c r="R102" s="165">
        <v>2606.87</v>
      </c>
      <c r="S102" s="168"/>
      <c r="T102" s="282">
        <v>3000</v>
      </c>
      <c r="U102" s="282"/>
      <c r="V102" s="282">
        <v>4500</v>
      </c>
      <c r="W102" s="168"/>
      <c r="X102" s="168"/>
      <c r="Y102" s="282">
        <v>5000</v>
      </c>
      <c r="Z102" s="283">
        <f t="shared" si="8"/>
        <v>0.66666666666666663</v>
      </c>
      <c r="AA102" s="101">
        <f t="shared" si="9"/>
        <v>2000</v>
      </c>
    </row>
    <row r="103" spans="1:28" ht="15.75" customHeight="1">
      <c r="A103" s="161" t="s">
        <v>289</v>
      </c>
      <c r="B103" s="161"/>
      <c r="C103" s="161" t="s">
        <v>290</v>
      </c>
      <c r="D103" s="161"/>
      <c r="E103" s="162"/>
      <c r="F103" s="162"/>
      <c r="G103" s="163"/>
      <c r="H103" s="163"/>
      <c r="I103" s="165">
        <v>2063.58</v>
      </c>
      <c r="J103" s="168"/>
      <c r="K103" s="165">
        <v>3514.67</v>
      </c>
      <c r="L103" s="168"/>
      <c r="M103" s="165">
        <v>3507.94</v>
      </c>
      <c r="N103" s="165">
        <v>6541.5</v>
      </c>
      <c r="O103" s="168"/>
      <c r="P103" s="165">
        <v>8394.8799999999992</v>
      </c>
      <c r="Q103" s="168"/>
      <c r="R103" s="165">
        <v>23353.38</v>
      </c>
      <c r="S103" s="168"/>
      <c r="T103" s="282">
        <v>15000</v>
      </c>
      <c r="U103" s="282"/>
      <c r="V103" s="282">
        <v>15000</v>
      </c>
      <c r="W103" s="168"/>
      <c r="X103" s="168"/>
      <c r="Y103" s="282">
        <v>15000</v>
      </c>
      <c r="Z103" s="283">
        <f t="shared" si="8"/>
        <v>0</v>
      </c>
      <c r="AA103" s="101">
        <f t="shared" si="9"/>
        <v>0</v>
      </c>
    </row>
    <row r="104" spans="1:28" ht="15.75" customHeight="1">
      <c r="A104" s="161" t="s">
        <v>291</v>
      </c>
      <c r="B104" s="161"/>
      <c r="C104" s="161" t="s">
        <v>292</v>
      </c>
      <c r="D104" s="161"/>
      <c r="E104" s="162"/>
      <c r="F104" s="162"/>
      <c r="G104" s="163"/>
      <c r="H104" s="163"/>
      <c r="I104" s="165">
        <v>8262.5300000000007</v>
      </c>
      <c r="J104" s="168"/>
      <c r="K104" s="165">
        <v>8882.8799999999992</v>
      </c>
      <c r="L104" s="168"/>
      <c r="M104" s="165">
        <v>4800.07</v>
      </c>
      <c r="N104" s="165">
        <v>3506.82</v>
      </c>
      <c r="O104" s="168"/>
      <c r="P104" s="165">
        <v>3375.04</v>
      </c>
      <c r="Q104" s="168"/>
      <c r="R104" s="165">
        <v>6761.47</v>
      </c>
      <c r="S104" s="168"/>
      <c r="T104" s="282">
        <v>8500</v>
      </c>
      <c r="U104" s="282"/>
      <c r="V104" s="282">
        <v>7500</v>
      </c>
      <c r="W104" s="168"/>
      <c r="X104" s="168"/>
      <c r="Y104" s="282">
        <v>8500</v>
      </c>
      <c r="Z104" s="283">
        <f t="shared" si="8"/>
        <v>0</v>
      </c>
      <c r="AA104" s="101">
        <f t="shared" si="9"/>
        <v>0</v>
      </c>
    </row>
    <row r="105" spans="1:28" ht="15.75" customHeight="1">
      <c r="A105" s="161" t="s">
        <v>293</v>
      </c>
      <c r="B105" s="161"/>
      <c r="C105" s="161" t="s">
        <v>423</v>
      </c>
      <c r="D105" s="161"/>
      <c r="E105" s="162"/>
      <c r="F105" s="162"/>
      <c r="G105" s="163"/>
      <c r="H105" s="163"/>
      <c r="I105" s="165">
        <v>6907.32</v>
      </c>
      <c r="J105" s="168"/>
      <c r="K105" s="165">
        <v>11147.46</v>
      </c>
      <c r="L105" s="168"/>
      <c r="M105" s="165">
        <v>12008.34</v>
      </c>
      <c r="N105" s="165">
        <v>14376.6</v>
      </c>
      <c r="O105" s="168"/>
      <c r="P105" s="165">
        <v>7981.36</v>
      </c>
      <c r="Q105" s="168"/>
      <c r="R105" s="165">
        <v>9668.4500000000007</v>
      </c>
      <c r="S105" s="168"/>
      <c r="T105" s="282">
        <v>12000</v>
      </c>
      <c r="U105" s="282"/>
      <c r="V105" s="282">
        <v>9000</v>
      </c>
      <c r="W105" s="168"/>
      <c r="X105" s="168"/>
      <c r="Y105" s="282">
        <v>9000</v>
      </c>
      <c r="Z105" s="283">
        <f t="shared" si="8"/>
        <v>-0.25</v>
      </c>
      <c r="AA105" s="101">
        <f t="shared" si="9"/>
        <v>-3000</v>
      </c>
    </row>
    <row r="106" spans="1:28" ht="15.75" customHeight="1">
      <c r="A106" s="161" t="s">
        <v>799</v>
      </c>
      <c r="B106" s="161"/>
      <c r="C106" s="161" t="s">
        <v>800</v>
      </c>
      <c r="D106" s="161"/>
      <c r="E106" s="162"/>
      <c r="F106" s="162"/>
      <c r="G106" s="163"/>
      <c r="H106" s="163"/>
      <c r="I106" s="165">
        <v>0</v>
      </c>
      <c r="J106" s="168"/>
      <c r="K106" s="165">
        <v>0</v>
      </c>
      <c r="L106" s="168"/>
      <c r="M106" s="165">
        <v>1594.47</v>
      </c>
      <c r="N106" s="165">
        <v>3807.46</v>
      </c>
      <c r="O106" s="168"/>
      <c r="P106" s="165">
        <v>0</v>
      </c>
      <c r="Q106" s="168"/>
      <c r="R106" s="165">
        <v>0</v>
      </c>
      <c r="S106" s="168"/>
      <c r="T106" s="282">
        <v>0</v>
      </c>
      <c r="U106" s="282"/>
      <c r="V106" s="282">
        <v>0</v>
      </c>
      <c r="W106" s="168"/>
      <c r="X106" s="168"/>
      <c r="Y106" s="282">
        <v>0</v>
      </c>
      <c r="Z106" s="283" t="e">
        <f t="shared" si="8"/>
        <v>#DIV/0!</v>
      </c>
      <c r="AA106" s="101">
        <f t="shared" si="9"/>
        <v>0</v>
      </c>
    </row>
    <row r="107" spans="1:28" ht="15.75" customHeight="1">
      <c r="A107" s="161" t="s">
        <v>300</v>
      </c>
      <c r="B107" s="161"/>
      <c r="C107" s="161" t="s">
        <v>255</v>
      </c>
      <c r="D107" s="161"/>
      <c r="E107" s="162"/>
      <c r="F107" s="162"/>
      <c r="G107" s="163"/>
      <c r="H107" s="163"/>
      <c r="I107" s="165">
        <v>18973.810000000001</v>
      </c>
      <c r="J107" s="168"/>
      <c r="K107" s="165">
        <v>18254.96</v>
      </c>
      <c r="L107" s="168"/>
      <c r="M107" s="165">
        <v>28670.12</v>
      </c>
      <c r="N107" s="165">
        <v>25796.55</v>
      </c>
      <c r="O107" s="168"/>
      <c r="P107" s="165">
        <v>21048.240000000002</v>
      </c>
      <c r="Q107" s="168"/>
      <c r="R107" s="165">
        <v>17966.330000000002</v>
      </c>
      <c r="S107" s="168"/>
      <c r="T107" s="282">
        <v>28000</v>
      </c>
      <c r="U107" s="282"/>
      <c r="V107" s="282">
        <v>30000</v>
      </c>
      <c r="W107" s="168"/>
      <c r="X107" s="168"/>
      <c r="Y107" s="282">
        <v>28000</v>
      </c>
      <c r="Z107" s="283">
        <f t="shared" si="8"/>
        <v>0</v>
      </c>
      <c r="AA107" s="101">
        <f t="shared" si="9"/>
        <v>0</v>
      </c>
    </row>
    <row r="108" spans="1:28" ht="15.75" customHeight="1">
      <c r="A108" s="161" t="s">
        <v>720</v>
      </c>
      <c r="B108" s="161"/>
      <c r="C108" s="161" t="s">
        <v>721</v>
      </c>
      <c r="D108" s="161"/>
      <c r="E108" s="162"/>
      <c r="F108" s="162"/>
      <c r="G108" s="163"/>
      <c r="H108" s="163"/>
      <c r="I108" s="165">
        <v>7024.8</v>
      </c>
      <c r="J108" s="168"/>
      <c r="K108" s="165">
        <v>10071.4</v>
      </c>
      <c r="L108" s="168"/>
      <c r="M108" s="165">
        <v>9950.36</v>
      </c>
      <c r="N108" s="165">
        <v>11042.04</v>
      </c>
      <c r="O108" s="168"/>
      <c r="P108" s="165">
        <v>12631.92</v>
      </c>
      <c r="Q108" s="168"/>
      <c r="R108" s="165">
        <v>13446.96</v>
      </c>
      <c r="S108" s="168"/>
      <c r="T108" s="282">
        <v>14000</v>
      </c>
      <c r="U108" s="282"/>
      <c r="V108" s="282">
        <v>16182</v>
      </c>
      <c r="W108" s="168"/>
      <c r="X108" s="168"/>
      <c r="Y108" s="282">
        <v>16441</v>
      </c>
      <c r="Z108" s="283">
        <f t="shared" si="8"/>
        <v>0.17435714285714285</v>
      </c>
      <c r="AA108" s="101">
        <f t="shared" si="9"/>
        <v>2441</v>
      </c>
    </row>
    <row r="109" spans="1:28" ht="15.75" customHeight="1">
      <c r="A109" s="161"/>
      <c r="B109" s="161"/>
      <c r="C109" s="177" t="s">
        <v>1356</v>
      </c>
      <c r="D109" s="161"/>
      <c r="E109" s="285">
        <f>SUM(E79:E99)</f>
        <v>17417</v>
      </c>
      <c r="F109" s="313"/>
      <c r="G109" s="314"/>
      <c r="H109" s="314"/>
      <c r="I109" s="287">
        <f>SUM(I100:I108)</f>
        <v>131078.42999999996</v>
      </c>
      <c r="J109" s="288"/>
      <c r="K109" s="287">
        <f>SUM(K100:K108)</f>
        <v>119308.31</v>
      </c>
      <c r="L109" s="288"/>
      <c r="M109" s="287">
        <f>SUM(M100:M108)</f>
        <v>132923.52999999997</v>
      </c>
      <c r="N109" s="287">
        <f>SUM(N100:N108)</f>
        <v>165518.48000000001</v>
      </c>
      <c r="O109" s="288"/>
      <c r="P109" s="287">
        <f>SUM(P100:P108)</f>
        <v>145838.24000000002</v>
      </c>
      <c r="Q109" s="288"/>
      <c r="R109" s="242">
        <f>SUM(R100:R108)</f>
        <v>208738.66</v>
      </c>
      <c r="S109" s="289"/>
      <c r="T109" s="242">
        <f>SUM(T100:T108)</f>
        <v>212500</v>
      </c>
      <c r="U109" s="242">
        <f>SUM(U100:U108)</f>
        <v>0</v>
      </c>
      <c r="V109" s="242">
        <f>SUM(V100:V108)</f>
        <v>139682</v>
      </c>
      <c r="W109" s="289"/>
      <c r="X109" s="289"/>
      <c r="Y109" s="242">
        <f>SUM(Y100:Y108)</f>
        <v>208941</v>
      </c>
      <c r="Z109" s="291">
        <f>(Y109-T109)/T109</f>
        <v>-1.6748235294117647E-2</v>
      </c>
      <c r="AA109" s="104">
        <f>SUM(AA100:AA108)</f>
        <v>-3559</v>
      </c>
    </row>
    <row r="110" spans="1:28" ht="15.75" customHeight="1">
      <c r="C110" s="41"/>
      <c r="E110" s="107"/>
      <c r="I110" s="108"/>
      <c r="J110" s="98"/>
      <c r="K110" s="108"/>
      <c r="L110" s="98"/>
      <c r="M110" s="108"/>
      <c r="N110" s="108"/>
      <c r="O110" s="98"/>
      <c r="P110" s="108"/>
      <c r="Q110" s="98"/>
      <c r="R110" s="108"/>
      <c r="S110" s="98"/>
      <c r="T110" s="108"/>
      <c r="U110" s="108"/>
      <c r="V110" s="108"/>
      <c r="W110" s="98"/>
      <c r="X110" s="98"/>
      <c r="Y110" s="108"/>
      <c r="Z110" s="115"/>
    </row>
    <row r="111" spans="1:28" ht="15.75" customHeight="1">
      <c r="A111" s="161"/>
      <c r="B111" s="161"/>
      <c r="C111" s="265" t="s">
        <v>334</v>
      </c>
      <c r="D111" s="161"/>
      <c r="E111" s="162"/>
      <c r="F111" s="162"/>
      <c r="G111" s="163"/>
      <c r="H111" s="163"/>
      <c r="I111" s="165"/>
      <c r="J111" s="167"/>
      <c r="K111" s="165"/>
      <c r="L111" s="167"/>
      <c r="M111" s="165"/>
      <c r="N111" s="165"/>
      <c r="O111" s="167"/>
      <c r="P111" s="165"/>
      <c r="Q111" s="167"/>
      <c r="R111" s="165"/>
      <c r="S111" s="167"/>
      <c r="T111" s="311"/>
      <c r="U111" s="167"/>
      <c r="V111" s="167"/>
      <c r="W111" s="167"/>
      <c r="X111" s="167"/>
      <c r="Y111" s="311"/>
      <c r="Z111" s="283"/>
    </row>
    <row r="112" spans="1:28" ht="15.75" customHeight="1">
      <c r="A112" s="161" t="s">
        <v>294</v>
      </c>
      <c r="B112" s="161"/>
      <c r="C112" s="161" t="s">
        <v>261</v>
      </c>
      <c r="D112" s="161"/>
      <c r="E112" s="162"/>
      <c r="F112" s="162"/>
      <c r="G112" s="163"/>
      <c r="H112" s="163"/>
      <c r="I112" s="165">
        <v>1784.23</v>
      </c>
      <c r="J112" s="167"/>
      <c r="K112" s="165">
        <v>1611.66</v>
      </c>
      <c r="L112" s="167"/>
      <c r="M112" s="165">
        <v>158.97</v>
      </c>
      <c r="N112" s="165">
        <v>6795.8</v>
      </c>
      <c r="O112" s="167"/>
      <c r="P112" s="165">
        <v>1103.83</v>
      </c>
      <c r="Q112" s="167"/>
      <c r="R112" s="165">
        <v>3259.32</v>
      </c>
      <c r="S112" s="167"/>
      <c r="T112" s="282">
        <v>4500</v>
      </c>
      <c r="U112" s="282"/>
      <c r="V112" s="282">
        <v>7000</v>
      </c>
      <c r="W112" s="167"/>
      <c r="X112" s="167"/>
      <c r="Y112" s="282">
        <v>4500</v>
      </c>
      <c r="Z112" s="283">
        <f t="shared" ref="Z112:Z121" si="10">(Y112-T112)/T112</f>
        <v>0</v>
      </c>
      <c r="AA112" s="101">
        <f t="shared" ref="AA112:AA121" si="11">Y112-T112</f>
        <v>0</v>
      </c>
    </row>
    <row r="113" spans="1:27" ht="15.75" customHeight="1">
      <c r="A113" s="161" t="s">
        <v>295</v>
      </c>
      <c r="B113" s="161"/>
      <c r="C113" s="161" t="s">
        <v>75</v>
      </c>
      <c r="D113" s="161"/>
      <c r="E113" s="162"/>
      <c r="F113" s="162"/>
      <c r="G113" s="163"/>
      <c r="H113" s="163"/>
      <c r="I113" s="165">
        <v>196.91</v>
      </c>
      <c r="J113" s="167"/>
      <c r="K113" s="165">
        <v>6370.27</v>
      </c>
      <c r="L113" s="167"/>
      <c r="M113" s="165">
        <v>122.85</v>
      </c>
      <c r="N113" s="165">
        <v>721.78</v>
      </c>
      <c r="O113" s="167"/>
      <c r="P113" s="165">
        <v>645.33000000000004</v>
      </c>
      <c r="Q113" s="167"/>
      <c r="R113" s="165">
        <v>4812.79</v>
      </c>
      <c r="S113" s="167"/>
      <c r="T113" s="282">
        <v>4500</v>
      </c>
      <c r="U113" s="282"/>
      <c r="V113" s="282">
        <v>7500</v>
      </c>
      <c r="W113" s="167"/>
      <c r="X113" s="167"/>
      <c r="Y113" s="282">
        <v>4500</v>
      </c>
      <c r="Z113" s="283">
        <f t="shared" si="10"/>
        <v>0</v>
      </c>
      <c r="AA113" s="101">
        <f t="shared" si="11"/>
        <v>0</v>
      </c>
    </row>
    <row r="114" spans="1:27" hidden="1">
      <c r="A114" s="161" t="s">
        <v>1017</v>
      </c>
      <c r="B114" s="161"/>
      <c r="C114" s="161" t="s">
        <v>1018</v>
      </c>
      <c r="D114" s="161"/>
      <c r="E114" s="162"/>
      <c r="F114" s="162"/>
      <c r="G114" s="163"/>
      <c r="H114" s="163"/>
      <c r="I114" s="165"/>
      <c r="J114" s="167"/>
      <c r="K114" s="165"/>
      <c r="L114" s="167"/>
      <c r="M114" s="165"/>
      <c r="N114" s="165">
        <v>9955</v>
      </c>
      <c r="O114" s="167"/>
      <c r="P114" s="165">
        <v>0</v>
      </c>
      <c r="Q114" s="167"/>
      <c r="R114" s="165"/>
      <c r="S114" s="167"/>
      <c r="T114" s="282"/>
      <c r="U114" s="282"/>
      <c r="V114" s="282"/>
      <c r="W114" s="167"/>
      <c r="X114" s="167"/>
      <c r="Y114" s="282"/>
      <c r="Z114" s="283" t="e">
        <f t="shared" si="10"/>
        <v>#DIV/0!</v>
      </c>
      <c r="AA114" s="101"/>
    </row>
    <row r="115" spans="1:27" ht="15.75" customHeight="1">
      <c r="A115" s="161" t="s">
        <v>296</v>
      </c>
      <c r="B115" s="161"/>
      <c r="C115" s="161" t="s">
        <v>71</v>
      </c>
      <c r="D115" s="161"/>
      <c r="E115" s="162"/>
      <c r="F115" s="162"/>
      <c r="G115" s="163"/>
      <c r="H115" s="163"/>
      <c r="I115" s="165">
        <v>2692.91</v>
      </c>
      <c r="J115" s="167"/>
      <c r="K115" s="165">
        <v>1942.08</v>
      </c>
      <c r="L115" s="167"/>
      <c r="M115" s="165">
        <v>3966.77</v>
      </c>
      <c r="N115" s="165">
        <v>3969.92</v>
      </c>
      <c r="O115" s="167"/>
      <c r="P115" s="165">
        <v>5191.49</v>
      </c>
      <c r="Q115" s="167"/>
      <c r="R115" s="165">
        <v>5547.55</v>
      </c>
      <c r="S115" s="167"/>
      <c r="T115" s="282">
        <v>6000</v>
      </c>
      <c r="U115" s="282"/>
      <c r="V115" s="282">
        <v>6000</v>
      </c>
      <c r="W115" s="167"/>
      <c r="X115" s="167"/>
      <c r="Y115" s="282">
        <v>6000</v>
      </c>
      <c r="Z115" s="283">
        <f t="shared" si="10"/>
        <v>0</v>
      </c>
      <c r="AA115" s="101">
        <f t="shared" si="11"/>
        <v>0</v>
      </c>
    </row>
    <row r="116" spans="1:27" ht="15.75" customHeight="1">
      <c r="A116" s="161" t="s">
        <v>1412</v>
      </c>
      <c r="B116" s="161"/>
      <c r="C116" s="161" t="s">
        <v>1413</v>
      </c>
      <c r="D116" s="161"/>
      <c r="E116" s="162"/>
      <c r="F116" s="162"/>
      <c r="G116" s="163"/>
      <c r="H116" s="163"/>
      <c r="I116" s="165"/>
      <c r="J116" s="167"/>
      <c r="K116" s="165"/>
      <c r="L116" s="167"/>
      <c r="M116" s="165"/>
      <c r="N116" s="165"/>
      <c r="O116" s="167"/>
      <c r="P116" s="165"/>
      <c r="Q116" s="167"/>
      <c r="R116" s="165">
        <v>135</v>
      </c>
      <c r="S116" s="167"/>
      <c r="T116" s="282">
        <v>0</v>
      </c>
      <c r="U116" s="282"/>
      <c r="V116" s="282">
        <v>0</v>
      </c>
      <c r="W116" s="167"/>
      <c r="X116" s="167"/>
      <c r="Y116" s="282">
        <v>0</v>
      </c>
      <c r="Z116" s="283" t="e">
        <f t="shared" si="10"/>
        <v>#DIV/0!</v>
      </c>
      <c r="AA116" s="101"/>
    </row>
    <row r="117" spans="1:27" ht="15.75" customHeight="1">
      <c r="A117" s="161" t="s">
        <v>298</v>
      </c>
      <c r="B117" s="161"/>
      <c r="C117" s="161" t="s">
        <v>263</v>
      </c>
      <c r="D117" s="161"/>
      <c r="E117" s="162"/>
      <c r="F117" s="162"/>
      <c r="G117" s="163"/>
      <c r="H117" s="163"/>
      <c r="I117" s="165">
        <v>15015.49</v>
      </c>
      <c r="J117" s="167"/>
      <c r="K117" s="165">
        <v>11676.75</v>
      </c>
      <c r="L117" s="167"/>
      <c r="M117" s="165">
        <v>27513.37</v>
      </c>
      <c r="N117" s="165">
        <v>34046.06</v>
      </c>
      <c r="O117" s="167"/>
      <c r="P117" s="165">
        <v>2734.88</v>
      </c>
      <c r="Q117" s="167"/>
      <c r="R117" s="165">
        <v>19659.18</v>
      </c>
      <c r="S117" s="167"/>
      <c r="T117" s="282">
        <v>15000</v>
      </c>
      <c r="U117" s="282"/>
      <c r="V117" s="282">
        <v>11000</v>
      </c>
      <c r="W117" s="167"/>
      <c r="X117" s="282"/>
      <c r="Y117" s="282">
        <v>10000</v>
      </c>
      <c r="Z117" s="283">
        <f t="shared" si="10"/>
        <v>-0.33333333333333331</v>
      </c>
      <c r="AA117" s="101">
        <f t="shared" si="11"/>
        <v>-5000</v>
      </c>
    </row>
    <row r="118" spans="1:27" ht="15.75" customHeight="1">
      <c r="A118" s="161" t="s">
        <v>299</v>
      </c>
      <c r="B118" s="161"/>
      <c r="C118" s="161" t="s">
        <v>76</v>
      </c>
      <c r="D118" s="161"/>
      <c r="E118" s="162"/>
      <c r="F118" s="162"/>
      <c r="G118" s="163"/>
      <c r="H118" s="163"/>
      <c r="I118" s="165">
        <v>16154.51</v>
      </c>
      <c r="J118" s="167"/>
      <c r="K118" s="165">
        <v>14120.44</v>
      </c>
      <c r="L118" s="167"/>
      <c r="M118" s="165">
        <v>4277.24</v>
      </c>
      <c r="N118" s="165">
        <v>7461.74</v>
      </c>
      <c r="O118" s="167"/>
      <c r="P118" s="165">
        <v>3258.23</v>
      </c>
      <c r="Q118" s="167"/>
      <c r="R118" s="165">
        <v>59979.67</v>
      </c>
      <c r="S118" s="167"/>
      <c r="T118" s="282">
        <v>15000</v>
      </c>
      <c r="U118" s="282"/>
      <c r="V118" s="282">
        <v>15000</v>
      </c>
      <c r="W118" s="167"/>
      <c r="X118" s="167"/>
      <c r="Y118" s="282">
        <v>12500</v>
      </c>
      <c r="Z118" s="283">
        <f t="shared" si="10"/>
        <v>-0.16666666666666666</v>
      </c>
      <c r="AA118" s="101">
        <f t="shared" si="11"/>
        <v>-2500</v>
      </c>
    </row>
    <row r="119" spans="1:27" ht="15.75" hidden="1" customHeight="1">
      <c r="A119" s="161" t="s">
        <v>340</v>
      </c>
      <c r="B119" s="161"/>
      <c r="C119" s="161" t="s">
        <v>341</v>
      </c>
      <c r="D119" s="161"/>
      <c r="E119" s="162"/>
      <c r="F119" s="162"/>
      <c r="G119" s="163"/>
      <c r="H119" s="163"/>
      <c r="I119" s="165">
        <v>0</v>
      </c>
      <c r="J119" s="167"/>
      <c r="K119" s="165">
        <v>0</v>
      </c>
      <c r="L119" s="167"/>
      <c r="M119" s="165">
        <v>0</v>
      </c>
      <c r="N119" s="165">
        <v>3.59</v>
      </c>
      <c r="O119" s="167"/>
      <c r="P119" s="165">
        <v>0</v>
      </c>
      <c r="Q119" s="167"/>
      <c r="R119" s="165"/>
      <c r="S119" s="167"/>
      <c r="T119" s="282"/>
      <c r="U119" s="282"/>
      <c r="V119" s="282"/>
      <c r="W119" s="167"/>
      <c r="X119" s="167"/>
      <c r="Y119" s="282"/>
      <c r="Z119" s="283" t="e">
        <f t="shared" si="10"/>
        <v>#DIV/0!</v>
      </c>
      <c r="AA119" s="101">
        <f t="shared" si="11"/>
        <v>0</v>
      </c>
    </row>
    <row r="120" spans="1:27" ht="15.75" customHeight="1">
      <c r="A120" s="161" t="s">
        <v>343</v>
      </c>
      <c r="B120" s="161"/>
      <c r="C120" s="161" t="s">
        <v>1186</v>
      </c>
      <c r="D120" s="161"/>
      <c r="E120" s="162"/>
      <c r="F120" s="162"/>
      <c r="G120" s="163"/>
      <c r="H120" s="163"/>
      <c r="I120" s="165">
        <v>0</v>
      </c>
      <c r="J120" s="167"/>
      <c r="K120" s="165">
        <v>3443</v>
      </c>
      <c r="L120" s="167"/>
      <c r="M120" s="165">
        <v>17374.759999999998</v>
      </c>
      <c r="N120" s="165">
        <v>2744.52</v>
      </c>
      <c r="O120" s="167"/>
      <c r="P120" s="165">
        <v>11745.96</v>
      </c>
      <c r="Q120" s="167"/>
      <c r="R120" s="165">
        <v>21191.02</v>
      </c>
      <c r="S120" s="167"/>
      <c r="T120" s="282">
        <v>20000</v>
      </c>
      <c r="U120" s="282"/>
      <c r="V120" s="282">
        <v>25000</v>
      </c>
      <c r="W120" s="167"/>
      <c r="X120" s="167"/>
      <c r="Y120" s="282">
        <v>20000</v>
      </c>
      <c r="Z120" s="283">
        <f t="shared" si="10"/>
        <v>0</v>
      </c>
      <c r="AA120" s="101">
        <f t="shared" si="11"/>
        <v>0</v>
      </c>
    </row>
    <row r="121" spans="1:27" ht="15.75" customHeight="1">
      <c r="A121" s="161" t="s">
        <v>453</v>
      </c>
      <c r="B121" s="161"/>
      <c r="C121" s="161" t="s">
        <v>271</v>
      </c>
      <c r="D121" s="161"/>
      <c r="E121" s="162"/>
      <c r="F121" s="162"/>
      <c r="G121" s="163"/>
      <c r="H121" s="163"/>
      <c r="I121" s="165">
        <v>1030</v>
      </c>
      <c r="J121" s="167"/>
      <c r="K121" s="165"/>
      <c r="L121" s="167"/>
      <c r="M121" s="165">
        <v>1500</v>
      </c>
      <c r="N121" s="165">
        <v>73665.149999999994</v>
      </c>
      <c r="O121" s="167"/>
      <c r="P121" s="165">
        <v>39420</v>
      </c>
      <c r="Q121" s="167"/>
      <c r="R121" s="165">
        <v>0</v>
      </c>
      <c r="S121" s="167"/>
      <c r="T121" s="282">
        <v>5000</v>
      </c>
      <c r="U121" s="282"/>
      <c r="V121" s="282">
        <v>0</v>
      </c>
      <c r="W121" s="167"/>
      <c r="X121" s="167"/>
      <c r="Y121" s="282">
        <v>5000</v>
      </c>
      <c r="Z121" s="283">
        <f t="shared" si="10"/>
        <v>0</v>
      </c>
      <c r="AA121" s="101">
        <f t="shared" si="11"/>
        <v>0</v>
      </c>
    </row>
    <row r="122" spans="1:27" ht="15.75" customHeight="1">
      <c r="A122" s="161" t="s">
        <v>303</v>
      </c>
      <c r="B122" s="161"/>
      <c r="C122" s="161" t="s">
        <v>1019</v>
      </c>
      <c r="D122" s="161"/>
      <c r="E122" s="162"/>
      <c r="F122" s="162"/>
      <c r="G122" s="163"/>
      <c r="H122" s="163"/>
      <c r="I122" s="165"/>
      <c r="J122" s="167"/>
      <c r="K122" s="165"/>
      <c r="L122" s="167"/>
      <c r="M122" s="165"/>
      <c r="N122" s="165">
        <v>505.47</v>
      </c>
      <c r="O122" s="167"/>
      <c r="P122" s="165">
        <v>3000</v>
      </c>
      <c r="Q122" s="167"/>
      <c r="R122" s="165">
        <v>798</v>
      </c>
      <c r="S122" s="167"/>
      <c r="T122" s="282">
        <v>1000</v>
      </c>
      <c r="U122" s="282"/>
      <c r="V122" s="282">
        <v>1000</v>
      </c>
      <c r="W122" s="167"/>
      <c r="X122" s="167"/>
      <c r="Y122" s="282">
        <v>1000</v>
      </c>
      <c r="Z122" s="283"/>
      <c r="AA122" s="101"/>
    </row>
    <row r="123" spans="1:27" ht="15.75" customHeight="1">
      <c r="A123" s="161"/>
      <c r="B123" s="161"/>
      <c r="C123" s="177" t="s">
        <v>726</v>
      </c>
      <c r="D123" s="161"/>
      <c r="E123" s="285"/>
      <c r="F123" s="313"/>
      <c r="G123" s="314"/>
      <c r="H123" s="314"/>
      <c r="I123" s="287">
        <f>SUM(I112:I120)</f>
        <v>35844.050000000003</v>
      </c>
      <c r="J123" s="287"/>
      <c r="K123" s="287">
        <f>SUM(K112:K120)</f>
        <v>39164.200000000004</v>
      </c>
      <c r="L123" s="287"/>
      <c r="M123" s="287">
        <f>SUM(M112:M120)</f>
        <v>53413.959999999992</v>
      </c>
      <c r="N123" s="287">
        <f>SUM(N112:N120)</f>
        <v>65698.409999999989</v>
      </c>
      <c r="O123" s="287"/>
      <c r="P123" s="287">
        <f>SUM(P112:P120)</f>
        <v>24679.719999999998</v>
      </c>
      <c r="Q123" s="287"/>
      <c r="R123" s="242">
        <f>SUM(R112:R122)</f>
        <v>115382.53</v>
      </c>
      <c r="S123" s="242"/>
      <c r="T123" s="242">
        <f>SUM(T112:T122)</f>
        <v>71000</v>
      </c>
      <c r="U123" s="242">
        <f>SUM(U112:U120)</f>
        <v>0</v>
      </c>
      <c r="V123" s="242">
        <f>SUM(V112:V122)</f>
        <v>72500</v>
      </c>
      <c r="W123" s="242">
        <f>SUM(W112:W113)</f>
        <v>0</v>
      </c>
      <c r="X123" s="242">
        <f>SUM(X112:X113)</f>
        <v>0</v>
      </c>
      <c r="Y123" s="242">
        <f>SUM(Y112:Y122)</f>
        <v>63500</v>
      </c>
      <c r="Z123" s="291">
        <f>(Y123-T123)/T123</f>
        <v>-0.10563380281690141</v>
      </c>
      <c r="AA123" s="104">
        <f>SUM(AA112:AA121)</f>
        <v>-7500</v>
      </c>
    </row>
    <row r="124" spans="1:27" s="103" customFormat="1" ht="16.5">
      <c r="A124" s="92"/>
      <c r="B124" s="100"/>
      <c r="C124" s="41"/>
      <c r="D124" s="96"/>
      <c r="E124" s="108"/>
      <c r="F124" s="96"/>
      <c r="G124" s="108"/>
      <c r="H124" s="96"/>
      <c r="I124" s="108"/>
      <c r="J124" s="107"/>
      <c r="K124" s="108"/>
      <c r="L124" s="107"/>
      <c r="M124" s="108"/>
      <c r="N124" s="108"/>
      <c r="O124" s="107"/>
      <c r="P124" s="108"/>
      <c r="Q124" s="107"/>
      <c r="R124" s="108"/>
      <c r="S124" s="107"/>
    </row>
    <row r="125" spans="1:27" s="103" customFormat="1" ht="16.5">
      <c r="A125" s="160"/>
      <c r="B125" s="160"/>
      <c r="C125" s="329" t="s">
        <v>1348</v>
      </c>
      <c r="D125" s="330"/>
      <c r="E125" s="162"/>
      <c r="F125" s="331"/>
      <c r="G125" s="162"/>
      <c r="H125" s="260"/>
      <c r="I125" s="165"/>
      <c r="J125" s="165"/>
      <c r="K125" s="165"/>
      <c r="L125" s="165"/>
      <c r="M125" s="165"/>
      <c r="N125" s="165"/>
      <c r="O125" s="165"/>
      <c r="P125" s="165"/>
      <c r="Q125" s="165"/>
      <c r="R125" s="165"/>
      <c r="S125" s="165"/>
      <c r="T125" s="188"/>
      <c r="U125" s="160"/>
      <c r="V125" s="188"/>
      <c r="W125" s="188"/>
      <c r="X125" s="188"/>
      <c r="Y125" s="188"/>
      <c r="Z125" s="188"/>
    </row>
    <row r="126" spans="1:27" s="111" customFormat="1">
      <c r="A126" s="420" t="s">
        <v>841</v>
      </c>
      <c r="B126" s="420"/>
      <c r="C126" s="160" t="s">
        <v>381</v>
      </c>
      <c r="D126" s="160"/>
      <c r="E126" s="165"/>
      <c r="F126" s="165">
        <v>96959</v>
      </c>
      <c r="G126" s="165"/>
      <c r="H126" s="165">
        <v>0</v>
      </c>
      <c r="I126" s="178">
        <v>0</v>
      </c>
      <c r="J126" s="180">
        <v>0</v>
      </c>
      <c r="K126" s="178">
        <v>0</v>
      </c>
      <c r="L126" s="180">
        <v>0</v>
      </c>
      <c r="M126" s="178">
        <v>1065.8</v>
      </c>
      <c r="N126" s="178">
        <v>4379.3</v>
      </c>
      <c r="O126" s="180"/>
      <c r="P126" s="178">
        <v>4379.58</v>
      </c>
      <c r="Q126" s="180"/>
      <c r="R126" s="178">
        <v>9469.08</v>
      </c>
      <c r="S126" s="180"/>
      <c r="T126" s="180">
        <v>20210</v>
      </c>
      <c r="U126" s="180"/>
      <c r="V126" s="180">
        <v>20210</v>
      </c>
      <c r="W126" s="196"/>
      <c r="X126" s="196"/>
      <c r="Y126" s="180">
        <v>19500</v>
      </c>
      <c r="Z126" s="283">
        <f t="shared" ref="Z126:Z141" si="12">(Y126-T126)/T126</f>
        <v>-3.5131123206333499E-2</v>
      </c>
      <c r="AA126" s="101">
        <f t="shared" ref="AA126:AA142" si="13">Y126-T126</f>
        <v>-710</v>
      </c>
    </row>
    <row r="127" spans="1:27">
      <c r="A127" s="161" t="s">
        <v>842</v>
      </c>
      <c r="B127" s="161"/>
      <c r="C127" s="160" t="s">
        <v>158</v>
      </c>
      <c r="D127" s="160"/>
      <c r="E127" s="165"/>
      <c r="F127" s="165">
        <v>369</v>
      </c>
      <c r="G127" s="165"/>
      <c r="H127" s="165">
        <v>0</v>
      </c>
      <c r="I127" s="178">
        <v>0</v>
      </c>
      <c r="J127" s="180">
        <v>0</v>
      </c>
      <c r="K127" s="178">
        <v>0</v>
      </c>
      <c r="L127" s="180">
        <v>0</v>
      </c>
      <c r="M127" s="178">
        <v>0</v>
      </c>
      <c r="N127" s="178"/>
      <c r="O127" s="180"/>
      <c r="P127" s="178">
        <v>0</v>
      </c>
      <c r="Q127" s="180"/>
      <c r="R127" s="178">
        <v>0</v>
      </c>
      <c r="S127" s="180"/>
      <c r="T127" s="180">
        <v>250</v>
      </c>
      <c r="U127" s="180"/>
      <c r="V127" s="180">
        <v>0</v>
      </c>
      <c r="W127" s="160"/>
      <c r="X127" s="160"/>
      <c r="Y127" s="180">
        <v>0</v>
      </c>
      <c r="Z127" s="283">
        <v>0</v>
      </c>
      <c r="AA127" s="101">
        <f t="shared" si="13"/>
        <v>-250</v>
      </c>
    </row>
    <row r="128" spans="1:27">
      <c r="A128" s="161" t="s">
        <v>843</v>
      </c>
      <c r="B128" s="161"/>
      <c r="C128" s="160" t="s">
        <v>105</v>
      </c>
      <c r="D128" s="160"/>
      <c r="E128" s="165"/>
      <c r="F128" s="165">
        <v>6771</v>
      </c>
      <c r="G128" s="165"/>
      <c r="H128" s="165">
        <v>0</v>
      </c>
      <c r="I128" s="178">
        <v>0</v>
      </c>
      <c r="J128" s="180">
        <v>0</v>
      </c>
      <c r="K128" s="178">
        <v>0</v>
      </c>
      <c r="L128" s="180">
        <v>0</v>
      </c>
      <c r="M128" s="178">
        <v>58.96</v>
      </c>
      <c r="N128" s="178">
        <v>238.52</v>
      </c>
      <c r="O128" s="180"/>
      <c r="P128" s="178">
        <v>268.06</v>
      </c>
      <c r="Q128" s="180"/>
      <c r="R128" s="178">
        <v>571.85</v>
      </c>
      <c r="S128" s="180"/>
      <c r="T128" s="180">
        <v>1269</v>
      </c>
      <c r="U128" s="180"/>
      <c r="V128" s="180">
        <v>1269</v>
      </c>
      <c r="W128" s="160"/>
      <c r="X128" s="160"/>
      <c r="Y128" s="180">
        <v>1209</v>
      </c>
      <c r="Z128" s="283">
        <f t="shared" si="12"/>
        <v>-4.7281323877068557E-2</v>
      </c>
      <c r="AA128" s="101">
        <f t="shared" si="13"/>
        <v>-60</v>
      </c>
    </row>
    <row r="129" spans="1:27">
      <c r="A129" s="161" t="s">
        <v>844</v>
      </c>
      <c r="B129" s="161"/>
      <c r="C129" s="160" t="s">
        <v>67</v>
      </c>
      <c r="D129" s="160"/>
      <c r="E129" s="165"/>
      <c r="F129" s="165">
        <v>1646</v>
      </c>
      <c r="G129" s="165"/>
      <c r="H129" s="165">
        <v>0</v>
      </c>
      <c r="I129" s="178">
        <v>0</v>
      </c>
      <c r="J129" s="180">
        <v>0</v>
      </c>
      <c r="K129" s="178">
        <v>0</v>
      </c>
      <c r="L129" s="180">
        <v>0</v>
      </c>
      <c r="M129" s="178">
        <v>13.81</v>
      </c>
      <c r="N129" s="178">
        <v>55.77</v>
      </c>
      <c r="O129" s="180"/>
      <c r="P129" s="178">
        <v>62.73</v>
      </c>
      <c r="Q129" s="180"/>
      <c r="R129" s="178">
        <v>133.80000000000001</v>
      </c>
      <c r="S129" s="180"/>
      <c r="T129" s="180">
        <v>297</v>
      </c>
      <c r="U129" s="180"/>
      <c r="V129" s="180">
        <v>297</v>
      </c>
      <c r="W129" s="160"/>
      <c r="X129" s="160"/>
      <c r="Y129" s="180">
        <v>283</v>
      </c>
      <c r="Z129" s="283">
        <f t="shared" si="12"/>
        <v>-4.7138047138047139E-2</v>
      </c>
      <c r="AA129" s="101">
        <f t="shared" si="13"/>
        <v>-14</v>
      </c>
    </row>
    <row r="130" spans="1:27">
      <c r="A130" s="161" t="s">
        <v>845</v>
      </c>
      <c r="B130" s="161"/>
      <c r="C130" s="160" t="s">
        <v>162</v>
      </c>
      <c r="D130" s="160"/>
      <c r="E130" s="165"/>
      <c r="F130" s="165">
        <v>13059</v>
      </c>
      <c r="G130" s="165"/>
      <c r="H130" s="165">
        <v>0</v>
      </c>
      <c r="I130" s="178">
        <v>0</v>
      </c>
      <c r="J130" s="180">
        <v>0</v>
      </c>
      <c r="K130" s="178">
        <v>0</v>
      </c>
      <c r="L130" s="180">
        <v>0</v>
      </c>
      <c r="M130" s="178">
        <v>547.79999999999995</v>
      </c>
      <c r="N130" s="178">
        <v>3227.98</v>
      </c>
      <c r="O130" s="180"/>
      <c r="P130" s="178">
        <v>1384.56</v>
      </c>
      <c r="Q130" s="180"/>
      <c r="R130" s="178">
        <v>1325.9</v>
      </c>
      <c r="S130" s="180"/>
      <c r="T130" s="180">
        <v>2752</v>
      </c>
      <c r="U130" s="180"/>
      <c r="V130" s="180">
        <v>1620</v>
      </c>
      <c r="W130" s="160"/>
      <c r="X130" s="160"/>
      <c r="Y130" s="180">
        <v>1486</v>
      </c>
      <c r="Z130" s="283">
        <f t="shared" si="12"/>
        <v>-0.46002906976744184</v>
      </c>
      <c r="AA130" s="101">
        <f t="shared" si="13"/>
        <v>-1266</v>
      </c>
    </row>
    <row r="131" spans="1:27">
      <c r="A131" s="161" t="s">
        <v>846</v>
      </c>
      <c r="B131" s="161"/>
      <c r="C131" s="160" t="s">
        <v>69</v>
      </c>
      <c r="D131" s="160"/>
      <c r="E131" s="165"/>
      <c r="F131" s="165">
        <v>1010</v>
      </c>
      <c r="G131" s="165"/>
      <c r="H131" s="165">
        <v>0</v>
      </c>
      <c r="I131" s="178">
        <v>0</v>
      </c>
      <c r="J131" s="180">
        <v>0</v>
      </c>
      <c r="K131" s="178">
        <v>0</v>
      </c>
      <c r="L131" s="180">
        <v>0</v>
      </c>
      <c r="M131" s="178">
        <v>35.35</v>
      </c>
      <c r="N131" s="178">
        <v>25.79</v>
      </c>
      <c r="O131" s="180"/>
      <c r="P131" s="178">
        <v>21.6</v>
      </c>
      <c r="Q131" s="180"/>
      <c r="R131" s="178">
        <v>51.52</v>
      </c>
      <c r="S131" s="180"/>
      <c r="T131" s="180">
        <v>126</v>
      </c>
      <c r="U131" s="180"/>
      <c r="V131" s="180">
        <v>5</v>
      </c>
      <c r="W131" s="160"/>
      <c r="X131" s="160"/>
      <c r="Y131" s="180">
        <v>23</v>
      </c>
      <c r="Z131" s="283">
        <f t="shared" si="12"/>
        <v>-0.81746031746031744</v>
      </c>
      <c r="AA131" s="101">
        <f t="shared" si="13"/>
        <v>-103</v>
      </c>
    </row>
    <row r="132" spans="1:27">
      <c r="A132" s="161" t="s">
        <v>847</v>
      </c>
      <c r="B132" s="161"/>
      <c r="C132" s="160" t="s">
        <v>165</v>
      </c>
      <c r="D132" s="160"/>
      <c r="E132" s="165"/>
      <c r="F132" s="165">
        <v>5607</v>
      </c>
      <c r="G132" s="165"/>
      <c r="H132" s="165">
        <v>0</v>
      </c>
      <c r="I132" s="178">
        <v>0</v>
      </c>
      <c r="J132" s="180">
        <v>0</v>
      </c>
      <c r="K132" s="178">
        <v>0</v>
      </c>
      <c r="L132" s="180">
        <v>0</v>
      </c>
      <c r="M132" s="178">
        <v>35.39</v>
      </c>
      <c r="N132" s="178">
        <v>52.78</v>
      </c>
      <c r="O132" s="180"/>
      <c r="P132" s="178">
        <v>55.3</v>
      </c>
      <c r="Q132" s="180"/>
      <c r="R132" s="178">
        <v>701.3</v>
      </c>
      <c r="S132" s="180"/>
      <c r="T132" s="180">
        <v>1512</v>
      </c>
      <c r="U132" s="180"/>
      <c r="V132" s="180">
        <v>1450</v>
      </c>
      <c r="W132" s="160"/>
      <c r="X132" s="160"/>
      <c r="Y132" s="180">
        <v>1367</v>
      </c>
      <c r="Z132" s="283">
        <f t="shared" si="12"/>
        <v>-9.5899470899470901E-2</v>
      </c>
      <c r="AA132" s="101">
        <f t="shared" si="13"/>
        <v>-145</v>
      </c>
    </row>
    <row r="133" spans="1:27">
      <c r="A133" s="161" t="s">
        <v>848</v>
      </c>
      <c r="B133" s="161"/>
      <c r="C133" s="160" t="s">
        <v>106</v>
      </c>
      <c r="D133" s="160"/>
      <c r="E133" s="253"/>
      <c r="F133" s="165">
        <v>1190</v>
      </c>
      <c r="G133" s="253"/>
      <c r="H133" s="165">
        <v>0</v>
      </c>
      <c r="I133" s="178">
        <v>0</v>
      </c>
      <c r="J133" s="180">
        <v>0</v>
      </c>
      <c r="K133" s="178">
        <v>0</v>
      </c>
      <c r="L133" s="180">
        <v>0</v>
      </c>
      <c r="M133" s="178">
        <v>18.690000000000001</v>
      </c>
      <c r="N133" s="178">
        <v>21.28</v>
      </c>
      <c r="O133" s="180"/>
      <c r="P133" s="178">
        <v>22.63</v>
      </c>
      <c r="Q133" s="180"/>
      <c r="R133" s="178">
        <v>22.49</v>
      </c>
      <c r="S133" s="180"/>
      <c r="T133" s="180">
        <v>48</v>
      </c>
      <c r="U133" s="180"/>
      <c r="V133" s="180">
        <v>48</v>
      </c>
      <c r="W133" s="160"/>
      <c r="X133" s="160"/>
      <c r="Y133" s="180">
        <v>46</v>
      </c>
      <c r="Z133" s="283">
        <f t="shared" si="12"/>
        <v>-4.1666666666666664E-2</v>
      </c>
      <c r="AA133" s="101">
        <f t="shared" si="13"/>
        <v>-2</v>
      </c>
    </row>
    <row r="134" spans="1:27">
      <c r="A134" s="161" t="s">
        <v>849</v>
      </c>
      <c r="B134" s="161"/>
      <c r="C134" s="160" t="s">
        <v>392</v>
      </c>
      <c r="D134" s="160"/>
      <c r="E134" s="253"/>
      <c r="F134" s="165">
        <v>218</v>
      </c>
      <c r="G134" s="253"/>
      <c r="H134" s="165">
        <v>0</v>
      </c>
      <c r="I134" s="178">
        <v>0</v>
      </c>
      <c r="J134" s="180">
        <v>0</v>
      </c>
      <c r="K134" s="178">
        <v>0</v>
      </c>
      <c r="L134" s="180">
        <v>0</v>
      </c>
      <c r="M134" s="178">
        <v>2.31</v>
      </c>
      <c r="N134" s="178">
        <v>12.58</v>
      </c>
      <c r="O134" s="180"/>
      <c r="P134" s="178">
        <v>14.4</v>
      </c>
      <c r="Q134" s="180"/>
      <c r="R134" s="178">
        <v>11.25</v>
      </c>
      <c r="S134" s="180"/>
      <c r="T134" s="180">
        <v>22</v>
      </c>
      <c r="U134" s="180"/>
      <c r="V134" s="180">
        <v>22</v>
      </c>
      <c r="W134" s="160"/>
      <c r="X134" s="160"/>
      <c r="Y134" s="180">
        <v>10</v>
      </c>
      <c r="Z134" s="283">
        <f t="shared" si="12"/>
        <v>-0.54545454545454541</v>
      </c>
      <c r="AA134" s="101">
        <f t="shared" si="13"/>
        <v>-12</v>
      </c>
    </row>
    <row r="135" spans="1:27">
      <c r="A135" s="161" t="s">
        <v>1234</v>
      </c>
      <c r="B135" s="161"/>
      <c r="C135" s="160" t="s">
        <v>1188</v>
      </c>
      <c r="D135" s="160"/>
      <c r="E135" s="253"/>
      <c r="F135" s="165"/>
      <c r="G135" s="253"/>
      <c r="H135" s="165"/>
      <c r="I135" s="178"/>
      <c r="J135" s="180"/>
      <c r="K135" s="178"/>
      <c r="L135" s="180"/>
      <c r="M135" s="178"/>
      <c r="N135" s="178"/>
      <c r="O135" s="180"/>
      <c r="P135" s="178">
        <v>0</v>
      </c>
      <c r="Q135" s="180"/>
      <c r="R135" s="178">
        <v>4500</v>
      </c>
      <c r="S135" s="180"/>
      <c r="T135" s="180">
        <v>4800</v>
      </c>
      <c r="U135" s="180"/>
      <c r="V135" s="180">
        <v>4800</v>
      </c>
      <c r="W135" s="160"/>
      <c r="X135" s="160"/>
      <c r="Y135" s="180">
        <v>6250</v>
      </c>
      <c r="Z135" s="283">
        <f t="shared" si="12"/>
        <v>0.30208333333333331</v>
      </c>
      <c r="AA135" s="101">
        <f t="shared" si="13"/>
        <v>1450</v>
      </c>
    </row>
    <row r="136" spans="1:27">
      <c r="A136" s="161" t="s">
        <v>1462</v>
      </c>
      <c r="B136" s="161"/>
      <c r="C136" s="160" t="s">
        <v>385</v>
      </c>
      <c r="D136" s="160"/>
      <c r="E136" s="253"/>
      <c r="F136" s="165"/>
      <c r="G136" s="253"/>
      <c r="H136" s="165"/>
      <c r="I136" s="178"/>
      <c r="J136" s="180"/>
      <c r="K136" s="178"/>
      <c r="L136" s="180"/>
      <c r="M136" s="178"/>
      <c r="N136" s="178"/>
      <c r="O136" s="180"/>
      <c r="P136" s="178"/>
      <c r="Q136" s="180"/>
      <c r="R136" s="178">
        <v>0</v>
      </c>
      <c r="S136" s="180"/>
      <c r="T136" s="180">
        <v>264</v>
      </c>
      <c r="U136" s="180"/>
      <c r="V136" s="180">
        <v>0</v>
      </c>
      <c r="W136" s="160"/>
      <c r="X136" s="160"/>
      <c r="Y136" s="180">
        <v>0</v>
      </c>
      <c r="Z136" s="283"/>
      <c r="AA136" s="101"/>
    </row>
    <row r="137" spans="1:27">
      <c r="A137" s="161" t="s">
        <v>903</v>
      </c>
      <c r="B137" s="161"/>
      <c r="C137" s="160" t="s">
        <v>606</v>
      </c>
      <c r="D137" s="160"/>
      <c r="E137" s="165"/>
      <c r="F137" s="165">
        <v>26412</v>
      </c>
      <c r="G137" s="165"/>
      <c r="H137" s="165">
        <v>0</v>
      </c>
      <c r="I137" s="178">
        <v>0</v>
      </c>
      <c r="J137" s="180">
        <v>0</v>
      </c>
      <c r="K137" s="178">
        <v>0</v>
      </c>
      <c r="L137" s="180">
        <v>0</v>
      </c>
      <c r="M137" s="178">
        <v>0</v>
      </c>
      <c r="N137" s="178">
        <v>2963.64</v>
      </c>
      <c r="O137" s="180"/>
      <c r="P137" s="178">
        <v>490.74</v>
      </c>
      <c r="Q137" s="180"/>
      <c r="R137" s="178">
        <v>-0.16</v>
      </c>
      <c r="S137" s="180"/>
      <c r="T137" s="180">
        <v>6708.7</v>
      </c>
      <c r="U137" s="180"/>
      <c r="V137" s="180">
        <v>6708.7</v>
      </c>
      <c r="W137" s="160"/>
      <c r="X137" s="180"/>
      <c r="Y137" s="180">
        <v>0</v>
      </c>
      <c r="Z137" s="283">
        <f t="shared" si="12"/>
        <v>-1</v>
      </c>
      <c r="AA137" s="101">
        <f t="shared" si="13"/>
        <v>-6708.7</v>
      </c>
    </row>
    <row r="138" spans="1:27">
      <c r="A138" s="161" t="s">
        <v>850</v>
      </c>
      <c r="B138" s="161"/>
      <c r="C138" s="160" t="s">
        <v>804</v>
      </c>
      <c r="D138" s="160"/>
      <c r="E138" s="165"/>
      <c r="F138" s="165">
        <v>26412</v>
      </c>
      <c r="G138" s="165"/>
      <c r="H138" s="165">
        <v>0</v>
      </c>
      <c r="I138" s="178">
        <v>0</v>
      </c>
      <c r="J138" s="180">
        <v>0</v>
      </c>
      <c r="K138" s="178">
        <v>0</v>
      </c>
      <c r="L138" s="180">
        <v>0</v>
      </c>
      <c r="M138" s="178">
        <v>417.5</v>
      </c>
      <c r="N138" s="178">
        <v>686.54</v>
      </c>
      <c r="O138" s="180"/>
      <c r="P138" s="178">
        <v>2964.43</v>
      </c>
      <c r="Q138" s="180"/>
      <c r="R138" s="178">
        <v>2694.99</v>
      </c>
      <c r="S138" s="180"/>
      <c r="T138" s="180">
        <v>1000</v>
      </c>
      <c r="U138" s="180"/>
      <c r="V138" s="180">
        <v>1000</v>
      </c>
      <c r="W138" s="160"/>
      <c r="X138" s="160"/>
      <c r="Y138" s="180">
        <v>1000</v>
      </c>
      <c r="Z138" s="283">
        <f t="shared" si="12"/>
        <v>0</v>
      </c>
      <c r="AA138" s="101">
        <f t="shared" si="13"/>
        <v>0</v>
      </c>
    </row>
    <row r="139" spans="1:27">
      <c r="A139" s="161" t="s">
        <v>851</v>
      </c>
      <c r="B139" s="161"/>
      <c r="C139" s="160" t="s">
        <v>805</v>
      </c>
      <c r="D139" s="160"/>
      <c r="E139" s="165"/>
      <c r="F139" s="165">
        <v>10000</v>
      </c>
      <c r="G139" s="165"/>
      <c r="H139" s="165">
        <v>0</v>
      </c>
      <c r="I139" s="178">
        <v>0</v>
      </c>
      <c r="J139" s="180">
        <v>0</v>
      </c>
      <c r="K139" s="178">
        <v>0</v>
      </c>
      <c r="L139" s="180">
        <v>0</v>
      </c>
      <c r="M139" s="178">
        <v>0</v>
      </c>
      <c r="N139" s="178">
        <v>991.15</v>
      </c>
      <c r="O139" s="180"/>
      <c r="P139" s="178">
        <v>2448.52</v>
      </c>
      <c r="Q139" s="180"/>
      <c r="R139" s="178">
        <v>1286.0999999999999</v>
      </c>
      <c r="S139" s="180"/>
      <c r="T139" s="180">
        <v>500</v>
      </c>
      <c r="U139" s="180"/>
      <c r="V139" s="180">
        <v>500</v>
      </c>
      <c r="W139" s="160"/>
      <c r="X139" s="160"/>
      <c r="Y139" s="180">
        <v>500</v>
      </c>
      <c r="Z139" s="283">
        <f t="shared" si="12"/>
        <v>0</v>
      </c>
      <c r="AA139" s="101">
        <f t="shared" si="13"/>
        <v>0</v>
      </c>
    </row>
    <row r="140" spans="1:27" hidden="1">
      <c r="A140" s="161" t="s">
        <v>852</v>
      </c>
      <c r="B140" s="161"/>
      <c r="C140" s="160" t="s">
        <v>806</v>
      </c>
      <c r="D140" s="160"/>
      <c r="E140" s="165"/>
      <c r="F140" s="165">
        <v>11627</v>
      </c>
      <c r="G140" s="165"/>
      <c r="H140" s="165">
        <v>0</v>
      </c>
      <c r="I140" s="178">
        <v>0</v>
      </c>
      <c r="J140" s="180">
        <v>0</v>
      </c>
      <c r="K140" s="178">
        <v>0</v>
      </c>
      <c r="L140" s="180">
        <v>0</v>
      </c>
      <c r="M140" s="178">
        <v>0</v>
      </c>
      <c r="N140" s="178">
        <v>148.93</v>
      </c>
      <c r="O140" s="180"/>
      <c r="P140" s="178">
        <v>0</v>
      </c>
      <c r="Q140" s="180"/>
      <c r="R140" s="178"/>
      <c r="S140" s="180"/>
      <c r="T140" s="180"/>
      <c r="U140" s="180"/>
      <c r="V140" s="180"/>
      <c r="W140" s="160"/>
      <c r="X140" s="160"/>
      <c r="Y140" s="180"/>
      <c r="Z140" s="283" t="e">
        <f t="shared" si="12"/>
        <v>#DIV/0!</v>
      </c>
      <c r="AA140" s="101">
        <f t="shared" si="13"/>
        <v>0</v>
      </c>
    </row>
    <row r="141" spans="1:27">
      <c r="A141" s="161" t="s">
        <v>853</v>
      </c>
      <c r="B141" s="161"/>
      <c r="C141" s="160" t="s">
        <v>807</v>
      </c>
      <c r="D141" s="160"/>
      <c r="E141" s="165"/>
      <c r="F141" s="165">
        <v>2066</v>
      </c>
      <c r="G141" s="165"/>
      <c r="H141" s="165">
        <v>0</v>
      </c>
      <c r="I141" s="178">
        <v>0</v>
      </c>
      <c r="J141" s="180">
        <v>0</v>
      </c>
      <c r="K141" s="178">
        <v>0</v>
      </c>
      <c r="L141" s="180">
        <v>0</v>
      </c>
      <c r="M141" s="178">
        <v>0</v>
      </c>
      <c r="N141" s="178">
        <v>0</v>
      </c>
      <c r="O141" s="180"/>
      <c r="P141" s="178">
        <v>935.49</v>
      </c>
      <c r="Q141" s="180"/>
      <c r="R141" s="178">
        <v>3913.99</v>
      </c>
      <c r="S141" s="180"/>
      <c r="T141" s="180">
        <v>0</v>
      </c>
      <c r="U141" s="180"/>
      <c r="V141" s="180">
        <v>0</v>
      </c>
      <c r="W141" s="160"/>
      <c r="X141" s="160"/>
      <c r="Y141" s="180">
        <v>1063</v>
      </c>
      <c r="Z141" s="283" t="e">
        <f t="shared" si="12"/>
        <v>#DIV/0!</v>
      </c>
      <c r="AA141" s="101">
        <f t="shared" si="13"/>
        <v>1063</v>
      </c>
    </row>
    <row r="142" spans="1:27" hidden="1">
      <c r="A142" s="161" t="s">
        <v>854</v>
      </c>
      <c r="B142" s="161"/>
      <c r="C142" s="160" t="s">
        <v>462</v>
      </c>
      <c r="D142" s="160"/>
      <c r="E142" s="165"/>
      <c r="F142" s="165">
        <v>4305</v>
      </c>
      <c r="G142" s="165"/>
      <c r="H142" s="165">
        <v>0</v>
      </c>
      <c r="I142" s="178">
        <v>0</v>
      </c>
      <c r="J142" s="180">
        <v>0</v>
      </c>
      <c r="K142" s="178">
        <v>0</v>
      </c>
      <c r="L142" s="180">
        <v>0</v>
      </c>
      <c r="M142" s="178">
        <v>0</v>
      </c>
      <c r="N142" s="178"/>
      <c r="O142" s="180"/>
      <c r="P142" s="178"/>
      <c r="Q142" s="180"/>
      <c r="R142" s="178"/>
      <c r="S142" s="180"/>
      <c r="T142" s="180"/>
      <c r="U142" s="180">
        <v>0</v>
      </c>
      <c r="V142" s="180">
        <v>0</v>
      </c>
      <c r="W142" s="160"/>
      <c r="X142" s="160"/>
      <c r="Y142" s="180"/>
      <c r="Z142" s="283">
        <v>0</v>
      </c>
      <c r="AA142" s="101">
        <f t="shared" si="13"/>
        <v>0</v>
      </c>
    </row>
    <row r="143" spans="1:27" ht="16.5">
      <c r="A143" s="160"/>
      <c r="B143" s="160"/>
      <c r="C143" s="407" t="s">
        <v>1357</v>
      </c>
      <c r="D143" s="177"/>
      <c r="E143" s="332"/>
      <c r="F143" s="287">
        <f>SUM(F126:F142)</f>
        <v>207651</v>
      </c>
      <c r="G143" s="332"/>
      <c r="H143" s="287">
        <f t="shared" ref="H143:S143" si="14">SUM(H126:H142)</f>
        <v>0</v>
      </c>
      <c r="I143" s="287">
        <f t="shared" si="14"/>
        <v>0</v>
      </c>
      <c r="J143" s="285">
        <f t="shared" si="14"/>
        <v>0</v>
      </c>
      <c r="K143" s="287">
        <f t="shared" si="14"/>
        <v>0</v>
      </c>
      <c r="L143" s="285">
        <f t="shared" si="14"/>
        <v>0</v>
      </c>
      <c r="M143" s="287">
        <f t="shared" si="14"/>
        <v>2195.6099999999997</v>
      </c>
      <c r="N143" s="287">
        <f t="shared" si="14"/>
        <v>12804.26</v>
      </c>
      <c r="O143" s="285">
        <f t="shared" si="14"/>
        <v>0</v>
      </c>
      <c r="P143" s="287">
        <f t="shared" si="14"/>
        <v>13048.04</v>
      </c>
      <c r="Q143" s="285">
        <f t="shared" si="14"/>
        <v>0</v>
      </c>
      <c r="R143" s="242">
        <f t="shared" si="14"/>
        <v>24682.109999999993</v>
      </c>
      <c r="S143" s="333">
        <f t="shared" si="14"/>
        <v>0</v>
      </c>
      <c r="T143" s="333">
        <f>SUM(T126:T141)</f>
        <v>39758.699999999997</v>
      </c>
      <c r="U143" s="333">
        <f>SUM(U126:U142)</f>
        <v>0</v>
      </c>
      <c r="V143" s="333">
        <f>SUM(V126:V142)</f>
        <v>37929.699999999997</v>
      </c>
      <c r="W143" s="334"/>
      <c r="X143" s="334"/>
      <c r="Y143" s="333">
        <f>SUM(Y126:Y142)</f>
        <v>32737</v>
      </c>
      <c r="Z143" s="291">
        <v>0</v>
      </c>
      <c r="AA143" s="104">
        <f>SUM(AA126:AA142)</f>
        <v>-6757.7</v>
      </c>
    </row>
    <row r="144" spans="1:27" ht="15.75" customHeight="1">
      <c r="C144" s="41"/>
      <c r="E144" s="107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15"/>
    </row>
    <row r="145" spans="1:28" ht="15.75" customHeight="1">
      <c r="A145" s="161"/>
      <c r="B145" s="161"/>
      <c r="C145" s="265" t="s">
        <v>285</v>
      </c>
      <c r="D145" s="161"/>
      <c r="E145" s="292"/>
      <c r="F145" s="292"/>
      <c r="G145" s="170"/>
      <c r="H145" s="170"/>
      <c r="I145" s="193"/>
      <c r="J145" s="168"/>
      <c r="K145" s="193"/>
      <c r="L145" s="168"/>
      <c r="M145" s="193"/>
      <c r="N145" s="193"/>
      <c r="O145" s="168"/>
      <c r="P145" s="193"/>
      <c r="Q145" s="168"/>
      <c r="R145" s="193"/>
      <c r="S145" s="168"/>
      <c r="T145" s="193"/>
      <c r="U145" s="193"/>
      <c r="V145" s="193"/>
      <c r="W145" s="168"/>
      <c r="X145" s="168"/>
      <c r="Y145" s="193"/>
      <c r="Z145" s="283"/>
    </row>
    <row r="146" spans="1:28" ht="15.75" customHeight="1">
      <c r="A146" s="161" t="s">
        <v>979</v>
      </c>
      <c r="B146" s="161"/>
      <c r="C146" s="161" t="s">
        <v>606</v>
      </c>
      <c r="D146" s="161"/>
      <c r="E146" s="162"/>
      <c r="F146" s="162"/>
      <c r="G146" s="163"/>
      <c r="H146" s="163"/>
      <c r="I146" s="165">
        <v>21008.36</v>
      </c>
      <c r="J146" s="168"/>
      <c r="K146" s="165">
        <v>8969.1</v>
      </c>
      <c r="L146" s="168"/>
      <c r="M146" s="165">
        <v>6711.23</v>
      </c>
      <c r="N146" s="165">
        <v>0</v>
      </c>
      <c r="O146" s="168"/>
      <c r="P146" s="165">
        <v>5422.02</v>
      </c>
      <c r="Q146" s="168"/>
      <c r="R146" s="165">
        <v>0.5</v>
      </c>
      <c r="S146" s="168"/>
      <c r="T146" s="282">
        <v>0</v>
      </c>
      <c r="U146" s="282"/>
      <c r="V146" s="282">
        <v>0</v>
      </c>
      <c r="W146" s="168"/>
      <c r="X146" s="168"/>
      <c r="Y146" s="282">
        <v>0</v>
      </c>
      <c r="Z146" s="283" t="e">
        <f>(Y146-T146)/T146</f>
        <v>#DIV/0!</v>
      </c>
      <c r="AA146" s="101">
        <f>Y146-T146</f>
        <v>0</v>
      </c>
    </row>
    <row r="147" spans="1:28" ht="15.75" hidden="1" customHeight="1">
      <c r="A147" s="161" t="s">
        <v>344</v>
      </c>
      <c r="B147" s="161"/>
      <c r="C147" s="161" t="s">
        <v>345</v>
      </c>
      <c r="D147" s="161"/>
      <c r="E147" s="162"/>
      <c r="F147" s="162"/>
      <c r="G147" s="163"/>
      <c r="H147" s="163"/>
      <c r="I147" s="165">
        <v>1390</v>
      </c>
      <c r="J147" s="168"/>
      <c r="K147" s="165">
        <v>0</v>
      </c>
      <c r="L147" s="168"/>
      <c r="M147" s="165"/>
      <c r="N147" s="165"/>
      <c r="O147" s="168"/>
      <c r="P147" s="165">
        <v>0</v>
      </c>
      <c r="Q147" s="168"/>
      <c r="R147" s="165"/>
      <c r="S147" s="168"/>
      <c r="T147" s="282"/>
      <c r="U147" s="282"/>
      <c r="V147" s="282"/>
      <c r="W147" s="168"/>
      <c r="X147" s="168"/>
      <c r="Y147" s="282"/>
      <c r="Z147" s="283" t="e">
        <f>(Y147-T147)/T147</f>
        <v>#DIV/0!</v>
      </c>
      <c r="AA147" s="101">
        <f>Y147-T147</f>
        <v>0</v>
      </c>
    </row>
    <row r="148" spans="1:28" ht="15.75" customHeight="1">
      <c r="A148" s="161" t="s">
        <v>304</v>
      </c>
      <c r="B148" s="161"/>
      <c r="C148" s="161" t="s">
        <v>257</v>
      </c>
      <c r="D148" s="161"/>
      <c r="E148" s="162">
        <v>314795</v>
      </c>
      <c r="F148" s="162"/>
      <c r="G148" s="163"/>
      <c r="H148" s="163"/>
      <c r="I148" s="165">
        <v>945.36</v>
      </c>
      <c r="J148" s="167"/>
      <c r="K148" s="165">
        <v>1795.89</v>
      </c>
      <c r="L148" s="167"/>
      <c r="M148" s="165">
        <v>2339.63</v>
      </c>
      <c r="N148" s="165">
        <v>6587.98</v>
      </c>
      <c r="O148" s="167"/>
      <c r="P148" s="165">
        <v>13705.15</v>
      </c>
      <c r="Q148" s="167"/>
      <c r="R148" s="165">
        <v>62497.88</v>
      </c>
      <c r="S148" s="167"/>
      <c r="T148" s="282">
        <v>30000</v>
      </c>
      <c r="U148" s="282"/>
      <c r="V148" s="282">
        <v>58000</v>
      </c>
      <c r="W148" s="167"/>
      <c r="X148" s="167"/>
      <c r="Y148" s="282">
        <v>35000</v>
      </c>
      <c r="Z148" s="283">
        <f>(Y148-T148)/T148</f>
        <v>0.16666666666666666</v>
      </c>
      <c r="AA148" s="101">
        <f>Y148-T148</f>
        <v>5000</v>
      </c>
    </row>
    <row r="149" spans="1:28" s="41" customFormat="1" ht="15.75" customHeight="1">
      <c r="A149" s="177"/>
      <c r="B149" s="177"/>
      <c r="C149" s="177" t="s">
        <v>1358</v>
      </c>
      <c r="D149" s="177"/>
      <c r="E149" s="285"/>
      <c r="F149" s="285"/>
      <c r="G149" s="286"/>
      <c r="H149" s="286"/>
      <c r="I149" s="287">
        <f>SUM(I146:I148)</f>
        <v>23343.72</v>
      </c>
      <c r="J149" s="288"/>
      <c r="K149" s="287">
        <f>SUM(K146:K148)</f>
        <v>10764.99</v>
      </c>
      <c r="L149" s="288"/>
      <c r="M149" s="287">
        <f>SUM(M146:M148)</f>
        <v>9050.86</v>
      </c>
      <c r="N149" s="287">
        <f>SUM(N146:N148)</f>
        <v>6587.98</v>
      </c>
      <c r="O149" s="288"/>
      <c r="P149" s="287">
        <f>SUM(P146:P148)</f>
        <v>19127.169999999998</v>
      </c>
      <c r="Q149" s="288"/>
      <c r="R149" s="242">
        <f>SUM(R146:R148)</f>
        <v>62498.38</v>
      </c>
      <c r="S149" s="289"/>
      <c r="T149" s="242">
        <f>SUM(T146:T148)</f>
        <v>30000</v>
      </c>
      <c r="U149" s="242">
        <f>SUM(U146:U148)</f>
        <v>0</v>
      </c>
      <c r="V149" s="242">
        <f>SUM(V146:V148)</f>
        <v>58000</v>
      </c>
      <c r="W149" s="289"/>
      <c r="X149" s="289"/>
      <c r="Y149" s="242">
        <f>SUM(Y146:Y148)</f>
        <v>35000</v>
      </c>
      <c r="Z149" s="291">
        <f>(Y149-T149)/T149</f>
        <v>0.16666666666666666</v>
      </c>
      <c r="AA149" s="104">
        <f>SUM(AA146:AA148)</f>
        <v>5000</v>
      </c>
      <c r="AB149" s="107"/>
    </row>
    <row r="150" spans="1:28" ht="15.75" customHeight="1">
      <c r="C150" s="41"/>
      <c r="I150" s="96"/>
      <c r="J150" s="97"/>
      <c r="K150" s="96"/>
      <c r="L150" s="97"/>
      <c r="M150" s="96"/>
      <c r="N150" s="96"/>
      <c r="O150" s="97"/>
      <c r="P150" s="96"/>
      <c r="Q150" s="97"/>
      <c r="R150" s="96"/>
      <c r="S150" s="97"/>
      <c r="W150" s="97"/>
      <c r="X150" s="97"/>
      <c r="Y150" s="97"/>
      <c r="Z150" s="115"/>
    </row>
    <row r="151" spans="1:28" ht="15.75" customHeight="1">
      <c r="A151" s="161"/>
      <c r="B151" s="161"/>
      <c r="C151" s="265" t="s">
        <v>1345</v>
      </c>
      <c r="D151" s="161"/>
      <c r="E151" s="162"/>
      <c r="F151" s="162"/>
      <c r="G151" s="163"/>
      <c r="H151" s="163"/>
      <c r="I151" s="165"/>
      <c r="J151" s="167"/>
      <c r="K151" s="165"/>
      <c r="L151" s="167"/>
      <c r="M151" s="165"/>
      <c r="N151" s="165"/>
      <c r="O151" s="167"/>
      <c r="P151" s="165"/>
      <c r="Q151" s="167"/>
      <c r="R151" s="165"/>
      <c r="S151" s="167"/>
      <c r="T151" s="165"/>
      <c r="U151" s="167"/>
      <c r="V151" s="167"/>
      <c r="W151" s="167"/>
      <c r="X151" s="167"/>
      <c r="Y151" s="165"/>
      <c r="Z151" s="283"/>
    </row>
    <row r="152" spans="1:28" ht="15.75" hidden="1" customHeight="1">
      <c r="A152" s="161" t="s">
        <v>958</v>
      </c>
      <c r="B152" s="161"/>
      <c r="C152" s="161" t="s">
        <v>960</v>
      </c>
      <c r="D152" s="161"/>
      <c r="E152" s="162"/>
      <c r="F152" s="162"/>
      <c r="G152" s="163"/>
      <c r="H152" s="163"/>
      <c r="I152" s="165">
        <v>62986</v>
      </c>
      <c r="J152" s="167"/>
      <c r="K152" s="165">
        <v>59168</v>
      </c>
      <c r="L152" s="167"/>
      <c r="M152" s="165">
        <v>0</v>
      </c>
      <c r="N152" s="165">
        <v>0</v>
      </c>
      <c r="O152" s="167"/>
      <c r="P152" s="165">
        <v>0</v>
      </c>
      <c r="Q152" s="167"/>
      <c r="R152" s="165">
        <v>0</v>
      </c>
      <c r="S152" s="167"/>
      <c r="T152" s="282">
        <v>0</v>
      </c>
      <c r="U152" s="282"/>
      <c r="V152" s="282">
        <v>0</v>
      </c>
      <c r="W152" s="167"/>
      <c r="X152" s="167"/>
      <c r="Y152" s="282">
        <v>0</v>
      </c>
      <c r="Z152" s="283"/>
    </row>
    <row r="153" spans="1:28" ht="15.75" customHeight="1">
      <c r="A153" s="161" t="s">
        <v>959</v>
      </c>
      <c r="B153" s="161"/>
      <c r="C153" s="161" t="s">
        <v>961</v>
      </c>
      <c r="D153" s="161"/>
      <c r="E153" s="162"/>
      <c r="F153" s="162"/>
      <c r="G153" s="163"/>
      <c r="H153" s="163"/>
      <c r="I153" s="165">
        <v>23332.91</v>
      </c>
      <c r="J153" s="167"/>
      <c r="K153" s="165">
        <v>79104.61</v>
      </c>
      <c r="L153" s="167"/>
      <c r="M153" s="165">
        <v>0</v>
      </c>
      <c r="N153" s="165">
        <v>22180.880000000001</v>
      </c>
      <c r="O153" s="167"/>
      <c r="P153" s="165">
        <v>23256.79</v>
      </c>
      <c r="Q153" s="167"/>
      <c r="R153" s="165">
        <v>5591.56</v>
      </c>
      <c r="S153" s="167"/>
      <c r="T153" s="282">
        <v>3775</v>
      </c>
      <c r="U153" s="282"/>
      <c r="V153" s="282">
        <v>3775.34</v>
      </c>
      <c r="W153" s="167"/>
      <c r="X153" s="167"/>
      <c r="Y153" s="282">
        <v>1911.89</v>
      </c>
      <c r="Z153" s="283"/>
    </row>
    <row r="154" spans="1:28" ht="15.75" customHeight="1">
      <c r="A154" s="161" t="s">
        <v>305</v>
      </c>
      <c r="B154" s="161"/>
      <c r="C154" s="161" t="s">
        <v>123</v>
      </c>
      <c r="D154" s="161"/>
      <c r="E154" s="162"/>
      <c r="F154" s="162"/>
      <c r="G154" s="163"/>
      <c r="H154" s="163"/>
      <c r="I154" s="165">
        <v>17750</v>
      </c>
      <c r="J154" s="167"/>
      <c r="K154" s="165">
        <v>53575</v>
      </c>
      <c r="L154" s="167"/>
      <c r="M154" s="165">
        <v>50850</v>
      </c>
      <c r="N154" s="165">
        <v>14150</v>
      </c>
      <c r="O154" s="167"/>
      <c r="P154" s="165">
        <v>-69676.429999999993</v>
      </c>
      <c r="Q154" s="167"/>
      <c r="R154" s="165">
        <v>3100</v>
      </c>
      <c r="S154" s="167"/>
      <c r="T154" s="282">
        <v>1550</v>
      </c>
      <c r="U154" s="282"/>
      <c r="V154" s="282">
        <v>1550</v>
      </c>
      <c r="W154" s="167"/>
      <c r="X154" s="167"/>
      <c r="Y154" s="282">
        <v>0</v>
      </c>
      <c r="Z154" s="283">
        <f>(Y154-T154)/T154</f>
        <v>-1</v>
      </c>
      <c r="AA154" s="101">
        <f>Y154-T154</f>
        <v>-1550</v>
      </c>
    </row>
    <row r="155" spans="1:28" ht="15.75" customHeight="1">
      <c r="A155" s="161" t="s">
        <v>124</v>
      </c>
      <c r="B155" s="161"/>
      <c r="C155" s="161" t="s">
        <v>125</v>
      </c>
      <c r="D155" s="161"/>
      <c r="E155" s="162"/>
      <c r="F155" s="162"/>
      <c r="G155" s="163"/>
      <c r="H155" s="163"/>
      <c r="I155" s="165">
        <v>1426.54</v>
      </c>
      <c r="J155" s="167"/>
      <c r="K155" s="165">
        <v>1336.54</v>
      </c>
      <c r="L155" s="167"/>
      <c r="M155" s="165">
        <v>1246.54</v>
      </c>
      <c r="N155" s="165">
        <v>1066.54</v>
      </c>
      <c r="O155" s="167"/>
      <c r="P155" s="165">
        <v>1483.54</v>
      </c>
      <c r="Q155" s="167"/>
      <c r="R155" s="165">
        <v>256.54000000000002</v>
      </c>
      <c r="S155" s="167"/>
      <c r="T155" s="282">
        <v>167</v>
      </c>
      <c r="U155" s="282"/>
      <c r="V155" s="282">
        <v>167</v>
      </c>
      <c r="W155" s="167"/>
      <c r="X155" s="167"/>
      <c r="Y155" s="282">
        <v>0</v>
      </c>
      <c r="Z155" s="283">
        <f>(Y155-T155)/T155</f>
        <v>-1</v>
      </c>
      <c r="AA155" s="101">
        <f>Y155-T155</f>
        <v>-167</v>
      </c>
    </row>
    <row r="156" spans="1:28" ht="15.75" customHeight="1">
      <c r="A156" s="161" t="s">
        <v>126</v>
      </c>
      <c r="B156" s="161"/>
      <c r="C156" s="161" t="s">
        <v>127</v>
      </c>
      <c r="D156" s="161"/>
      <c r="E156" s="162"/>
      <c r="F156" s="162"/>
      <c r="G156" s="163"/>
      <c r="H156" s="163"/>
      <c r="I156" s="165">
        <v>4789.82</v>
      </c>
      <c r="J156" s="167"/>
      <c r="K156" s="165">
        <v>4622.32</v>
      </c>
      <c r="L156" s="167"/>
      <c r="M156" s="165">
        <v>4454.82</v>
      </c>
      <c r="N156" s="165">
        <v>4119.82</v>
      </c>
      <c r="O156" s="167"/>
      <c r="P156" s="165">
        <v>6142.32</v>
      </c>
      <c r="Q156" s="167"/>
      <c r="R156" s="165">
        <v>1104.82</v>
      </c>
      <c r="S156" s="167"/>
      <c r="T156" s="282">
        <v>518</v>
      </c>
      <c r="U156" s="282"/>
      <c r="V156" s="282">
        <v>518</v>
      </c>
      <c r="W156" s="167"/>
      <c r="X156" s="167"/>
      <c r="Y156" s="282">
        <v>0</v>
      </c>
      <c r="Z156" s="283">
        <f>(Y156-T156)/T156</f>
        <v>-1</v>
      </c>
      <c r="AA156" s="101">
        <f>Y156-T156</f>
        <v>-518</v>
      </c>
    </row>
    <row r="157" spans="1:28" ht="15.75" customHeight="1">
      <c r="A157" s="161" t="s">
        <v>129</v>
      </c>
      <c r="B157" s="161"/>
      <c r="C157" s="161" t="s">
        <v>1519</v>
      </c>
      <c r="D157" s="161"/>
      <c r="E157" s="162"/>
      <c r="F157" s="162"/>
      <c r="G157" s="163"/>
      <c r="H157" s="163"/>
      <c r="I157" s="165">
        <v>0</v>
      </c>
      <c r="J157" s="167"/>
      <c r="K157" s="165">
        <v>0</v>
      </c>
      <c r="L157" s="167"/>
      <c r="M157" s="165">
        <v>0</v>
      </c>
      <c r="N157" s="165">
        <v>0</v>
      </c>
      <c r="O157" s="167"/>
      <c r="P157" s="165">
        <v>0</v>
      </c>
      <c r="Q157" s="167"/>
      <c r="R157" s="165">
        <v>51905</v>
      </c>
      <c r="S157" s="167"/>
      <c r="T157" s="282">
        <v>51905</v>
      </c>
      <c r="U157" s="282"/>
      <c r="V157" s="282">
        <v>51938</v>
      </c>
      <c r="W157" s="167"/>
      <c r="X157" s="167"/>
      <c r="Y157" s="282">
        <v>51896</v>
      </c>
      <c r="Z157" s="283">
        <f>(Y157-T157)/T157</f>
        <v>-1.7339370002889895E-4</v>
      </c>
      <c r="AA157" s="101">
        <f>Y157-T157</f>
        <v>-9</v>
      </c>
    </row>
    <row r="158" spans="1:28" s="41" customFormat="1" ht="15.75" customHeight="1">
      <c r="A158" s="177"/>
      <c r="B158" s="177"/>
      <c r="C158" s="177" t="s">
        <v>1359</v>
      </c>
      <c r="D158" s="177"/>
      <c r="E158" s="285"/>
      <c r="F158" s="285"/>
      <c r="G158" s="286"/>
      <c r="H158" s="286"/>
      <c r="I158" s="287">
        <f>SUM(I154:I157)</f>
        <v>23966.36</v>
      </c>
      <c r="J158" s="287"/>
      <c r="K158" s="287">
        <f>SUM(K154:K157)</f>
        <v>59533.86</v>
      </c>
      <c r="L158" s="287"/>
      <c r="M158" s="287">
        <f>SUM(M154:M157)</f>
        <v>56551.360000000001</v>
      </c>
      <c r="N158" s="287">
        <f>SUM(N154:N157)</f>
        <v>19336.36</v>
      </c>
      <c r="O158" s="287"/>
      <c r="P158" s="287">
        <f>SUM(P154:P157)</f>
        <v>-62050.57</v>
      </c>
      <c r="Q158" s="287"/>
      <c r="R158" s="242">
        <f>SUM(R152:R157)</f>
        <v>61957.919999999998</v>
      </c>
      <c r="S158" s="242"/>
      <c r="T158" s="242">
        <f>SUM(T152:T157)</f>
        <v>57915</v>
      </c>
      <c r="U158" s="242">
        <f>SUM(U154:U157)</f>
        <v>0</v>
      </c>
      <c r="V158" s="242">
        <f>SUM(V152:V157)</f>
        <v>57948.34</v>
      </c>
      <c r="W158" s="242">
        <f>SUM(W154:W157)</f>
        <v>0</v>
      </c>
      <c r="X158" s="242"/>
      <c r="Y158" s="242">
        <f>SUM(Y152:Y157)</f>
        <v>53807.89</v>
      </c>
      <c r="Z158" s="291">
        <f>(Y158-T158)/T158</f>
        <v>-7.0916170249503599E-2</v>
      </c>
      <c r="AA158" s="104">
        <f>SUM(AA154:AA157)</f>
        <v>-2244</v>
      </c>
      <c r="AB158" s="107"/>
    </row>
    <row r="159" spans="1:28" ht="15.75" customHeight="1">
      <c r="C159" s="41"/>
      <c r="I159" s="96"/>
      <c r="J159" s="97"/>
      <c r="K159" s="96"/>
      <c r="L159" s="97"/>
      <c r="M159" s="96"/>
      <c r="N159" s="96"/>
      <c r="O159" s="97"/>
      <c r="P159" s="96"/>
      <c r="Q159" s="97"/>
      <c r="R159" s="96"/>
      <c r="S159" s="97"/>
      <c r="T159" s="96"/>
      <c r="W159" s="97"/>
      <c r="X159" s="97"/>
      <c r="Y159" s="96"/>
      <c r="Z159" s="115"/>
    </row>
    <row r="160" spans="1:28" ht="15.75" customHeight="1" thickBot="1">
      <c r="C160" s="41"/>
      <c r="I160" s="96"/>
      <c r="J160" s="97"/>
      <c r="K160" s="96"/>
      <c r="L160" s="97"/>
      <c r="M160" s="96"/>
      <c r="N160" s="96"/>
      <c r="O160" s="97"/>
      <c r="P160" s="96"/>
      <c r="Q160" s="97"/>
      <c r="R160" s="96"/>
      <c r="S160" s="97"/>
      <c r="T160" s="96"/>
      <c r="W160" s="97"/>
      <c r="X160" s="97"/>
      <c r="Y160" s="96"/>
      <c r="Z160" s="115"/>
    </row>
    <row r="161" spans="1:28" s="41" customFormat="1" ht="15.75" customHeight="1" thickBot="1">
      <c r="A161" s="177" t="s">
        <v>283</v>
      </c>
      <c r="B161" s="177"/>
      <c r="C161" s="177"/>
      <c r="D161" s="177"/>
      <c r="E161" s="335"/>
      <c r="F161" s="335"/>
      <c r="G161" s="336"/>
      <c r="H161" s="336"/>
      <c r="I161" s="306">
        <f>I72+I97+I109+I123+I149+I158</f>
        <v>648987.04</v>
      </c>
      <c r="J161" s="337"/>
      <c r="K161" s="306">
        <f>K72+K97+K109+K123+K143+K149+K158</f>
        <v>723068.53999999992</v>
      </c>
      <c r="L161" s="337"/>
      <c r="M161" s="306">
        <f>M72+M97+M109+M123+M143+M149+M158</f>
        <v>683937.30999999994</v>
      </c>
      <c r="N161" s="306">
        <f>N72+N97+N109+N123+N143+N149+N158</f>
        <v>806166.51</v>
      </c>
      <c r="O161" s="337"/>
      <c r="P161" s="306">
        <f>P72+P97+P109+P123+P143+P149+P158</f>
        <v>728168.7200000002</v>
      </c>
      <c r="Q161" s="337"/>
      <c r="R161" s="308">
        <f>R72+R97+R109+R123+R143+R149+R158</f>
        <v>1136363.48</v>
      </c>
      <c r="S161" s="338"/>
      <c r="T161" s="308">
        <f>SUM(T72+T97+T109+T123+T143+T149+T158)</f>
        <v>1219511.7</v>
      </c>
      <c r="U161" s="308">
        <f>U72+U97+U109+U123+U143+U149+U158</f>
        <v>0</v>
      </c>
      <c r="V161" s="308">
        <f>V72+V97+V109+V123+V143+V149+V158</f>
        <v>1262754.8</v>
      </c>
      <c r="W161" s="338"/>
      <c r="X161" s="338"/>
      <c r="Y161" s="308">
        <f>Y72+Y97+Y109+Y123+Y143+Y149+Y158</f>
        <v>1362969.8299999998</v>
      </c>
      <c r="Z161" s="310">
        <f>(Y161-T161)/T161</f>
        <v>0.11763571436009994</v>
      </c>
      <c r="AA161" s="106">
        <f>AA72+AA97+AA109+AA123+AA143+AA149+AA158</f>
        <v>20585.239999999994</v>
      </c>
      <c r="AB161" s="107"/>
    </row>
    <row r="162" spans="1:28" s="41" customFormat="1" ht="15.75" customHeight="1" thickTop="1">
      <c r="E162" s="107"/>
      <c r="F162" s="107"/>
      <c r="G162" s="99"/>
      <c r="H162" s="99"/>
      <c r="I162" s="108"/>
      <c r="J162" s="98"/>
      <c r="K162" s="108"/>
      <c r="L162" s="98"/>
      <c r="M162" s="108"/>
      <c r="N162" s="108"/>
      <c r="O162" s="98"/>
      <c r="P162" s="108"/>
      <c r="Q162" s="98"/>
      <c r="R162" s="108"/>
      <c r="S162" s="98"/>
      <c r="T162" s="108"/>
      <c r="U162" s="108"/>
      <c r="V162" s="108"/>
      <c r="W162" s="98"/>
      <c r="X162" s="98"/>
      <c r="Y162" s="108"/>
      <c r="Z162" s="115"/>
      <c r="AA162" s="103"/>
      <c r="AB162" s="107"/>
    </row>
    <row r="163" spans="1:28" ht="15.75" customHeight="1">
      <c r="A163" s="161"/>
      <c r="B163" s="161"/>
      <c r="C163" s="265" t="s">
        <v>310</v>
      </c>
      <c r="D163" s="161"/>
      <c r="E163" s="162"/>
      <c r="F163" s="162"/>
      <c r="G163" s="163"/>
      <c r="H163" s="163"/>
      <c r="I163" s="165"/>
      <c r="J163" s="167"/>
      <c r="K163" s="165"/>
      <c r="L163" s="167"/>
      <c r="M163" s="165"/>
      <c r="N163" s="165"/>
      <c r="O163" s="167"/>
      <c r="P163" s="165"/>
      <c r="Q163" s="167"/>
      <c r="R163" s="165"/>
      <c r="S163" s="167"/>
      <c r="T163" s="311"/>
      <c r="U163" s="167"/>
      <c r="V163" s="167"/>
      <c r="W163" s="167"/>
      <c r="X163" s="167"/>
      <c r="Y163" s="311"/>
      <c r="Z163" s="283"/>
    </row>
    <row r="164" spans="1:28" ht="15.75" customHeight="1">
      <c r="A164" s="161" t="s">
        <v>130</v>
      </c>
      <c r="B164" s="161"/>
      <c r="C164" s="161" t="s">
        <v>262</v>
      </c>
      <c r="D164" s="161"/>
      <c r="E164" s="162">
        <v>314795</v>
      </c>
      <c r="F164" s="162"/>
      <c r="G164" s="163"/>
      <c r="H164" s="163"/>
      <c r="I164" s="165">
        <v>212710.3</v>
      </c>
      <c r="J164" s="167"/>
      <c r="K164" s="165">
        <v>209918.8</v>
      </c>
      <c r="L164" s="167"/>
      <c r="M164" s="165">
        <v>212177.96</v>
      </c>
      <c r="N164" s="165">
        <v>246957.36</v>
      </c>
      <c r="O164" s="167"/>
      <c r="P164" s="165">
        <v>283341.39</v>
      </c>
      <c r="Q164" s="167"/>
      <c r="R164" s="165">
        <v>320652.21999999997</v>
      </c>
      <c r="S164" s="167"/>
      <c r="T164" s="167">
        <v>370118</v>
      </c>
      <c r="U164" s="282"/>
      <c r="V164" s="167">
        <v>350000</v>
      </c>
      <c r="W164" s="167"/>
      <c r="X164" s="167"/>
      <c r="Y164" s="167">
        <v>392631.87</v>
      </c>
      <c r="Z164" s="283">
        <f t="shared" ref="Z164:Z175" si="15">(Y164-T164)/T164</f>
        <v>6.0828897810968383E-2</v>
      </c>
      <c r="AA164" s="101">
        <f>Y164-T164</f>
        <v>22513.869999999995</v>
      </c>
      <c r="AB164" s="167"/>
    </row>
    <row r="165" spans="1:28" ht="15.75" customHeight="1">
      <c r="A165" s="161" t="s">
        <v>789</v>
      </c>
      <c r="B165" s="161"/>
      <c r="C165" s="161" t="s">
        <v>1240</v>
      </c>
      <c r="D165" s="161"/>
      <c r="E165" s="162"/>
      <c r="F165" s="162"/>
      <c r="G165" s="163"/>
      <c r="H165" s="163"/>
      <c r="I165" s="165">
        <v>0</v>
      </c>
      <c r="J165" s="167"/>
      <c r="K165" s="165">
        <v>69441.66</v>
      </c>
      <c r="L165" s="167"/>
      <c r="M165" s="165">
        <v>0</v>
      </c>
      <c r="N165" s="165">
        <v>38794.99</v>
      </c>
      <c r="O165" s="167"/>
      <c r="P165" s="165">
        <v>3548.43</v>
      </c>
      <c r="Q165" s="167"/>
      <c r="R165" s="165">
        <v>45015.12</v>
      </c>
      <c r="S165" s="167"/>
      <c r="T165" s="167">
        <v>34944</v>
      </c>
      <c r="U165" s="282"/>
      <c r="V165" s="167">
        <v>34944</v>
      </c>
      <c r="W165" s="167"/>
      <c r="X165" s="167"/>
      <c r="Y165" s="167">
        <v>39936</v>
      </c>
      <c r="Z165" s="283">
        <f t="shared" si="15"/>
        <v>0.14285714285714285</v>
      </c>
      <c r="AA165" s="101">
        <f t="shared" ref="AA165:AA175" si="16">Y165-T165</f>
        <v>4992</v>
      </c>
      <c r="AB165" s="167"/>
    </row>
    <row r="166" spans="1:28" ht="15.75" customHeight="1">
      <c r="A166" s="161" t="s">
        <v>790</v>
      </c>
      <c r="B166" s="161"/>
      <c r="C166" s="161" t="s">
        <v>1253</v>
      </c>
      <c r="D166" s="161"/>
      <c r="E166" s="162"/>
      <c r="F166" s="162"/>
      <c r="G166" s="163"/>
      <c r="H166" s="163"/>
      <c r="I166" s="165">
        <v>0</v>
      </c>
      <c r="J166" s="167"/>
      <c r="K166" s="165">
        <v>2047.36</v>
      </c>
      <c r="L166" s="167"/>
      <c r="M166" s="165">
        <v>0</v>
      </c>
      <c r="N166" s="165">
        <v>652.30999999999995</v>
      </c>
      <c r="O166" s="167"/>
      <c r="P166" s="165">
        <v>0</v>
      </c>
      <c r="Q166" s="167"/>
      <c r="R166" s="165">
        <v>529.84</v>
      </c>
      <c r="S166" s="167"/>
      <c r="T166" s="167">
        <v>625</v>
      </c>
      <c r="U166" s="282"/>
      <c r="V166" s="167">
        <v>1500</v>
      </c>
      <c r="W166" s="167"/>
      <c r="X166" s="167"/>
      <c r="Y166" s="167">
        <v>1500</v>
      </c>
      <c r="Z166" s="283">
        <f t="shared" si="15"/>
        <v>1.4</v>
      </c>
      <c r="AA166" s="101">
        <f t="shared" si="16"/>
        <v>875</v>
      </c>
      <c r="AB166" s="167"/>
    </row>
    <row r="167" spans="1:28" ht="15.75" customHeight="1">
      <c r="A167" s="161" t="s">
        <v>131</v>
      </c>
      <c r="B167" s="161"/>
      <c r="C167" s="161" t="s">
        <v>280</v>
      </c>
      <c r="D167" s="161"/>
      <c r="E167" s="162">
        <v>314795</v>
      </c>
      <c r="F167" s="162"/>
      <c r="G167" s="163"/>
      <c r="H167" s="163"/>
      <c r="I167" s="165">
        <v>14147.38</v>
      </c>
      <c r="J167" s="167"/>
      <c r="K167" s="165">
        <v>13599.44</v>
      </c>
      <c r="L167" s="167"/>
      <c r="M167" s="165">
        <v>12914.58</v>
      </c>
      <c r="N167" s="165">
        <v>14513.29</v>
      </c>
      <c r="O167" s="167"/>
      <c r="P167" s="165">
        <v>13924.74</v>
      </c>
      <c r="Q167" s="167"/>
      <c r="R167" s="165">
        <v>17224.400000000001</v>
      </c>
      <c r="S167" s="167"/>
      <c r="T167" s="167">
        <v>16000</v>
      </c>
      <c r="U167" s="282"/>
      <c r="V167" s="167">
        <v>16000</v>
      </c>
      <c r="W167" s="167"/>
      <c r="X167" s="167"/>
      <c r="Y167" s="167">
        <v>16000</v>
      </c>
      <c r="Z167" s="283">
        <f t="shared" si="15"/>
        <v>0</v>
      </c>
      <c r="AA167" s="101">
        <f t="shared" si="16"/>
        <v>0</v>
      </c>
      <c r="AB167" s="167"/>
    </row>
    <row r="168" spans="1:28" ht="15.75" customHeight="1">
      <c r="A168" s="161" t="s">
        <v>132</v>
      </c>
      <c r="B168" s="161"/>
      <c r="C168" s="161" t="s">
        <v>66</v>
      </c>
      <c r="D168" s="161"/>
      <c r="E168" s="162"/>
      <c r="F168" s="162"/>
      <c r="G168" s="163"/>
      <c r="H168" s="163"/>
      <c r="I168" s="165">
        <v>11983.81</v>
      </c>
      <c r="J168" s="167"/>
      <c r="K168" s="165">
        <v>13117.25</v>
      </c>
      <c r="L168" s="167"/>
      <c r="M168" s="165">
        <v>13291.94</v>
      </c>
      <c r="N168" s="165">
        <v>15335.18</v>
      </c>
      <c r="O168" s="167"/>
      <c r="P168" s="165">
        <v>18082.52</v>
      </c>
      <c r="Q168" s="167"/>
      <c r="R168" s="165">
        <v>20708.87</v>
      </c>
      <c r="S168" s="167"/>
      <c r="T168" s="311">
        <v>24002</v>
      </c>
      <c r="U168" s="282"/>
      <c r="V168" s="311">
        <v>23000</v>
      </c>
      <c r="W168" s="167"/>
      <c r="X168" s="167"/>
      <c r="Y168" s="311">
        <v>25335.22</v>
      </c>
      <c r="Z168" s="283">
        <f t="shared" si="15"/>
        <v>5.5546204482959799E-2</v>
      </c>
      <c r="AA168" s="101">
        <f t="shared" si="16"/>
        <v>1333.2200000000012</v>
      </c>
      <c r="AB168" s="311"/>
    </row>
    <row r="169" spans="1:28" ht="15.75" customHeight="1">
      <c r="A169" s="161" t="s">
        <v>133</v>
      </c>
      <c r="B169" s="161"/>
      <c r="C169" s="161" t="s">
        <v>67</v>
      </c>
      <c r="D169" s="161"/>
      <c r="E169" s="162"/>
      <c r="F169" s="162"/>
      <c r="G169" s="163"/>
      <c r="H169" s="163"/>
      <c r="I169" s="165">
        <v>2699.35</v>
      </c>
      <c r="J169" s="167"/>
      <c r="K169" s="165">
        <v>3067.77</v>
      </c>
      <c r="L169" s="167"/>
      <c r="M169" s="165">
        <v>3108.58</v>
      </c>
      <c r="N169" s="165">
        <v>3586.43</v>
      </c>
      <c r="O169" s="167"/>
      <c r="P169" s="165">
        <v>4228.9799999999996</v>
      </c>
      <c r="Q169" s="167"/>
      <c r="R169" s="165">
        <v>4843.18</v>
      </c>
      <c r="S169" s="167"/>
      <c r="T169" s="311">
        <v>5614</v>
      </c>
      <c r="U169" s="282"/>
      <c r="V169" s="311">
        <v>5400</v>
      </c>
      <c r="W169" s="167"/>
      <c r="X169" s="167"/>
      <c r="Y169" s="311">
        <v>5924.5</v>
      </c>
      <c r="Z169" s="283">
        <f t="shared" si="15"/>
        <v>5.5308158175988602E-2</v>
      </c>
      <c r="AA169" s="101">
        <f t="shared" si="16"/>
        <v>310.5</v>
      </c>
      <c r="AB169" s="311"/>
    </row>
    <row r="170" spans="1:28" ht="15.75" customHeight="1">
      <c r="A170" s="161" t="s">
        <v>134</v>
      </c>
      <c r="B170" s="161"/>
      <c r="C170" s="161" t="s">
        <v>68</v>
      </c>
      <c r="D170" s="161"/>
      <c r="E170" s="162">
        <v>63302</v>
      </c>
      <c r="F170" s="162"/>
      <c r="G170" s="163"/>
      <c r="H170" s="163"/>
      <c r="I170" s="165">
        <v>39129.120000000003</v>
      </c>
      <c r="J170" s="167"/>
      <c r="K170" s="165">
        <v>47393.58</v>
      </c>
      <c r="L170" s="167"/>
      <c r="M170" s="165">
        <v>53120.89</v>
      </c>
      <c r="N170" s="165">
        <v>71622.23</v>
      </c>
      <c r="O170" s="167"/>
      <c r="P170" s="165">
        <v>59633.5</v>
      </c>
      <c r="Q170" s="167"/>
      <c r="R170" s="165">
        <v>37788.78</v>
      </c>
      <c r="S170" s="167"/>
      <c r="T170" s="311">
        <v>45413</v>
      </c>
      <c r="U170" s="282"/>
      <c r="V170" s="311">
        <v>45413</v>
      </c>
      <c r="W170" s="167"/>
      <c r="X170" s="167"/>
      <c r="Y170" s="311">
        <v>49046.58</v>
      </c>
      <c r="Z170" s="283">
        <f t="shared" si="15"/>
        <v>8.0011890868253624E-2</v>
      </c>
      <c r="AA170" s="101">
        <f t="shared" si="16"/>
        <v>3633.5800000000017</v>
      </c>
      <c r="AB170" s="311"/>
    </row>
    <row r="171" spans="1:28" ht="15.75" customHeight="1">
      <c r="A171" s="161" t="s">
        <v>135</v>
      </c>
      <c r="B171" s="161"/>
      <c r="C171" s="161" t="s">
        <v>69</v>
      </c>
      <c r="D171" s="161"/>
      <c r="E171" s="162"/>
      <c r="F171" s="162"/>
      <c r="G171" s="163"/>
      <c r="H171" s="163"/>
      <c r="I171" s="165">
        <v>1687.55</v>
      </c>
      <c r="J171" s="167"/>
      <c r="K171" s="165">
        <v>1111.22</v>
      </c>
      <c r="L171" s="167"/>
      <c r="M171" s="165">
        <v>540.85</v>
      </c>
      <c r="N171" s="165">
        <v>1211.6099999999999</v>
      </c>
      <c r="O171" s="167"/>
      <c r="P171" s="165">
        <v>1202.42</v>
      </c>
      <c r="Q171" s="167"/>
      <c r="R171" s="165">
        <v>1678.24</v>
      </c>
      <c r="S171" s="167"/>
      <c r="T171" s="311">
        <v>2142</v>
      </c>
      <c r="U171" s="282"/>
      <c r="V171" s="311">
        <v>100</v>
      </c>
      <c r="W171" s="167"/>
      <c r="X171" s="167"/>
      <c r="Y171" s="311">
        <v>787.5</v>
      </c>
      <c r="Z171" s="283">
        <f t="shared" si="15"/>
        <v>-0.63235294117647056</v>
      </c>
      <c r="AA171" s="101">
        <f t="shared" si="16"/>
        <v>-1354.5</v>
      </c>
      <c r="AB171" s="311"/>
    </row>
    <row r="172" spans="1:28" ht="15.75" customHeight="1">
      <c r="A172" s="161" t="s">
        <v>1280</v>
      </c>
      <c r="B172" s="161"/>
      <c r="C172" s="161" t="s">
        <v>1281</v>
      </c>
      <c r="D172" s="161"/>
      <c r="E172" s="162"/>
      <c r="F172" s="162"/>
      <c r="G172" s="163"/>
      <c r="H172" s="163"/>
      <c r="I172" s="165"/>
      <c r="J172" s="167"/>
      <c r="K172" s="165"/>
      <c r="L172" s="167"/>
      <c r="M172" s="165"/>
      <c r="N172" s="165"/>
      <c r="O172" s="167"/>
      <c r="P172" s="165"/>
      <c r="Q172" s="167"/>
      <c r="R172" s="165">
        <v>-3712</v>
      </c>
      <c r="S172" s="167"/>
      <c r="T172" s="311">
        <v>3000</v>
      </c>
      <c r="U172" s="282"/>
      <c r="V172" s="311">
        <v>3000</v>
      </c>
      <c r="W172" s="167"/>
      <c r="X172" s="167"/>
      <c r="Y172" s="311">
        <v>3000</v>
      </c>
      <c r="Z172" s="318">
        <f>(Y172-T172)/T172</f>
        <v>0</v>
      </c>
      <c r="AA172" s="101">
        <f t="shared" si="16"/>
        <v>0</v>
      </c>
      <c r="AB172" s="311"/>
    </row>
    <row r="173" spans="1:28" ht="15.75" customHeight="1">
      <c r="A173" s="161" t="s">
        <v>454</v>
      </c>
      <c r="B173" s="161"/>
      <c r="C173" s="161" t="s">
        <v>70</v>
      </c>
      <c r="D173" s="161"/>
      <c r="E173" s="162"/>
      <c r="F173" s="162"/>
      <c r="G173" s="163"/>
      <c r="H173" s="163"/>
      <c r="I173" s="165">
        <v>7653.16</v>
      </c>
      <c r="J173" s="167"/>
      <c r="K173" s="165">
        <v>7201.56</v>
      </c>
      <c r="L173" s="167"/>
      <c r="M173" s="165">
        <v>11890.82</v>
      </c>
      <c r="N173" s="165">
        <v>3148.65</v>
      </c>
      <c r="O173" s="167"/>
      <c r="P173" s="165">
        <v>3641.94</v>
      </c>
      <c r="Q173" s="167"/>
      <c r="R173" s="165">
        <v>-23286.2</v>
      </c>
      <c r="S173" s="167"/>
      <c r="T173" s="311">
        <v>28608</v>
      </c>
      <c r="U173" s="282"/>
      <c r="V173" s="311">
        <v>28608</v>
      </c>
      <c r="W173" s="167"/>
      <c r="X173" s="167"/>
      <c r="Y173" s="311">
        <v>27962.5</v>
      </c>
      <c r="Z173" s="283">
        <f t="shared" si="15"/>
        <v>-2.2563618568232663E-2</v>
      </c>
      <c r="AA173" s="101">
        <f t="shared" si="16"/>
        <v>-645.5</v>
      </c>
      <c r="AB173" s="311"/>
    </row>
    <row r="174" spans="1:28" ht="15.75" customHeight="1">
      <c r="A174" s="161" t="s">
        <v>455</v>
      </c>
      <c r="B174" s="161"/>
      <c r="C174" s="161" t="s">
        <v>83</v>
      </c>
      <c r="D174" s="161"/>
      <c r="E174" s="162"/>
      <c r="F174" s="162"/>
      <c r="G174" s="163"/>
      <c r="H174" s="163"/>
      <c r="I174" s="165">
        <v>7550.76</v>
      </c>
      <c r="J174" s="167"/>
      <c r="K174" s="165">
        <v>9411.0499999999993</v>
      </c>
      <c r="L174" s="167"/>
      <c r="M174" s="165">
        <v>3872.06</v>
      </c>
      <c r="N174" s="165">
        <v>3032.55</v>
      </c>
      <c r="O174" s="167"/>
      <c r="P174" s="165">
        <v>4000.66</v>
      </c>
      <c r="Q174" s="167"/>
      <c r="R174" s="165">
        <v>4938.2700000000004</v>
      </c>
      <c r="S174" s="167"/>
      <c r="T174" s="165">
        <v>6108</v>
      </c>
      <c r="U174" s="282"/>
      <c r="V174" s="165">
        <v>5300</v>
      </c>
      <c r="W174" s="167"/>
      <c r="X174" s="167"/>
      <c r="Y174" s="165">
        <v>5835.17</v>
      </c>
      <c r="Z174" s="283">
        <f t="shared" si="15"/>
        <v>-4.4667648984937774E-2</v>
      </c>
      <c r="AA174" s="101">
        <f t="shared" si="16"/>
        <v>-272.82999999999993</v>
      </c>
      <c r="AB174" s="165"/>
    </row>
    <row r="175" spans="1:28" ht="15.75" customHeight="1">
      <c r="A175" s="161" t="s">
        <v>456</v>
      </c>
      <c r="B175" s="161"/>
      <c r="C175" s="161" t="s">
        <v>251</v>
      </c>
      <c r="D175" s="161"/>
      <c r="E175" s="162"/>
      <c r="F175" s="162"/>
      <c r="G175" s="163"/>
      <c r="H175" s="163"/>
      <c r="I175" s="165">
        <v>679.76</v>
      </c>
      <c r="J175" s="167"/>
      <c r="K175" s="165">
        <v>744.89</v>
      </c>
      <c r="L175" s="167"/>
      <c r="M175" s="165">
        <v>718.05</v>
      </c>
      <c r="N175" s="165">
        <v>563.69000000000005</v>
      </c>
      <c r="O175" s="167"/>
      <c r="P175" s="165">
        <v>481.56</v>
      </c>
      <c r="Q175" s="167"/>
      <c r="R175" s="165">
        <v>342</v>
      </c>
      <c r="S175" s="167"/>
      <c r="T175" s="165">
        <v>356</v>
      </c>
      <c r="U175" s="282"/>
      <c r="V175" s="165">
        <v>356</v>
      </c>
      <c r="W175" s="167"/>
      <c r="X175" s="167"/>
      <c r="Y175" s="165">
        <v>336.6</v>
      </c>
      <c r="Z175" s="283">
        <f t="shared" si="15"/>
        <v>-5.4494382022471845E-2</v>
      </c>
      <c r="AA175" s="101">
        <f t="shared" si="16"/>
        <v>-19.399999999999977</v>
      </c>
      <c r="AB175" s="165"/>
    </row>
    <row r="176" spans="1:28" s="41" customFormat="1" ht="15.75" customHeight="1">
      <c r="A176" s="177"/>
      <c r="B176" s="177"/>
      <c r="C176" s="177" t="s">
        <v>1360</v>
      </c>
      <c r="D176" s="177"/>
      <c r="E176" s="285"/>
      <c r="F176" s="285"/>
      <c r="G176" s="286"/>
      <c r="H176" s="286"/>
      <c r="I176" s="287">
        <f>SUM(I164:I175)</f>
        <v>298241.19</v>
      </c>
      <c r="J176" s="288"/>
      <c r="K176" s="287">
        <f>SUM(K164:K175)</f>
        <v>377054.57999999996</v>
      </c>
      <c r="L176" s="288"/>
      <c r="M176" s="287">
        <f>SUM(M164:M175)</f>
        <v>311635.72999999992</v>
      </c>
      <c r="N176" s="287">
        <f>SUM(N164:N175)</f>
        <v>399418.28999999992</v>
      </c>
      <c r="O176" s="288"/>
      <c r="P176" s="287">
        <f>SUM(P164:P175)</f>
        <v>392086.13999999996</v>
      </c>
      <c r="Q176" s="288"/>
      <c r="R176" s="242">
        <f>SUM(R164:R175)</f>
        <v>426722.72000000003</v>
      </c>
      <c r="S176" s="289"/>
      <c r="T176" s="242">
        <f>SUM(T164:T175)</f>
        <v>536930</v>
      </c>
      <c r="U176" s="289">
        <f>SUM(U164:U175)</f>
        <v>0</v>
      </c>
      <c r="V176" s="289">
        <f>SUM(V164:V175)</f>
        <v>513621</v>
      </c>
      <c r="W176" s="289"/>
      <c r="X176" s="289"/>
      <c r="Y176" s="242">
        <f>SUM(Y164:Y175)</f>
        <v>568295.93999999994</v>
      </c>
      <c r="Z176" s="291">
        <f>(Y176-T176)/T176</f>
        <v>5.8417186597880436E-2</v>
      </c>
      <c r="AA176" s="104">
        <f>SUM(AA164:AA175)</f>
        <v>31365.939999999995</v>
      </c>
      <c r="AB176" s="107"/>
    </row>
    <row r="177" spans="1:28" s="41" customFormat="1" ht="15.75" customHeight="1">
      <c r="E177" s="107"/>
      <c r="F177" s="107"/>
      <c r="G177" s="99"/>
      <c r="H177" s="99"/>
      <c r="I177" s="108"/>
      <c r="J177" s="98"/>
      <c r="K177" s="108"/>
      <c r="L177" s="98"/>
      <c r="M177" s="108"/>
      <c r="N177" s="108"/>
      <c r="O177" s="98"/>
      <c r="P177" s="108"/>
      <c r="Q177" s="98"/>
      <c r="R177" s="108"/>
      <c r="S177" s="98"/>
      <c r="T177" s="108"/>
      <c r="U177" s="98"/>
      <c r="V177" s="98"/>
      <c r="W177" s="98"/>
      <c r="X177" s="98"/>
      <c r="Y177" s="108"/>
      <c r="Z177" s="115"/>
      <c r="AA177" s="103"/>
      <c r="AB177" s="107"/>
    </row>
    <row r="178" spans="1:28" ht="15.75" customHeight="1">
      <c r="A178" s="161"/>
      <c r="B178" s="161"/>
      <c r="C178" s="265" t="s">
        <v>336</v>
      </c>
      <c r="D178" s="161"/>
      <c r="E178" s="292"/>
      <c r="F178" s="292"/>
      <c r="G178" s="170"/>
      <c r="H178" s="170"/>
      <c r="I178" s="193"/>
      <c r="J178" s="168"/>
      <c r="K178" s="193"/>
      <c r="L178" s="168"/>
      <c r="M178" s="193"/>
      <c r="N178" s="193"/>
      <c r="O178" s="168"/>
      <c r="P178" s="193"/>
      <c r="Q178" s="168"/>
      <c r="R178" s="193"/>
      <c r="S178" s="168"/>
      <c r="T178" s="193"/>
      <c r="U178" s="193"/>
      <c r="V178" s="193"/>
      <c r="W178" s="168"/>
      <c r="X178" s="168"/>
      <c r="Y178" s="193"/>
      <c r="Z178" s="283"/>
    </row>
    <row r="179" spans="1:28" ht="15.75" customHeight="1">
      <c r="A179" s="161" t="s">
        <v>315</v>
      </c>
      <c r="B179" s="161"/>
      <c r="C179" s="161" t="s">
        <v>435</v>
      </c>
      <c r="D179" s="161"/>
      <c r="E179" s="162">
        <v>62479</v>
      </c>
      <c r="F179" s="162"/>
      <c r="G179" s="163"/>
      <c r="H179" s="163"/>
      <c r="I179" s="165">
        <v>15561.97</v>
      </c>
      <c r="J179" s="168"/>
      <c r="K179" s="165">
        <v>18213.02</v>
      </c>
      <c r="L179" s="168"/>
      <c r="M179" s="165">
        <v>18792.52</v>
      </c>
      <c r="N179" s="165">
        <v>30587.02</v>
      </c>
      <c r="O179" s="168"/>
      <c r="P179" s="165">
        <v>24005.64</v>
      </c>
      <c r="Q179" s="168"/>
      <c r="R179" s="165">
        <v>36554.01</v>
      </c>
      <c r="S179" s="168"/>
      <c r="T179" s="282">
        <v>35000</v>
      </c>
      <c r="U179" s="282"/>
      <c r="V179" s="282">
        <v>25000</v>
      </c>
      <c r="W179" s="168"/>
      <c r="X179" s="168"/>
      <c r="Y179" s="282">
        <v>30000</v>
      </c>
      <c r="Z179" s="283">
        <f t="shared" ref="Z179:Z186" si="17">(Y179-T179)/T179</f>
        <v>-0.14285714285714285</v>
      </c>
      <c r="AA179" s="101">
        <f>Y179-T179</f>
        <v>-5000</v>
      </c>
    </row>
    <row r="180" spans="1:28" ht="15.75" customHeight="1">
      <c r="A180" s="161" t="s">
        <v>316</v>
      </c>
      <c r="B180" s="161"/>
      <c r="C180" s="161" t="s">
        <v>256</v>
      </c>
      <c r="D180" s="161"/>
      <c r="E180" s="162"/>
      <c r="F180" s="162"/>
      <c r="G180" s="163"/>
      <c r="H180" s="163"/>
      <c r="I180" s="165">
        <v>9350.39</v>
      </c>
      <c r="J180" s="168"/>
      <c r="K180" s="165">
        <v>9042.74</v>
      </c>
      <c r="L180" s="168"/>
      <c r="M180" s="165">
        <v>5316.2</v>
      </c>
      <c r="N180" s="165">
        <v>2889.36</v>
      </c>
      <c r="O180" s="168"/>
      <c r="P180" s="165">
        <v>3494.58</v>
      </c>
      <c r="Q180" s="168"/>
      <c r="R180" s="165">
        <v>6893.34</v>
      </c>
      <c r="S180" s="168"/>
      <c r="T180" s="282">
        <v>6500</v>
      </c>
      <c r="U180" s="282"/>
      <c r="V180" s="282">
        <v>9000</v>
      </c>
      <c r="W180" s="168"/>
      <c r="X180" s="168"/>
      <c r="Y180" s="282">
        <v>8000</v>
      </c>
      <c r="Z180" s="283">
        <f t="shared" si="17"/>
        <v>0.23076923076923078</v>
      </c>
      <c r="AA180" s="101">
        <f t="shared" ref="AA180:AA186" si="18">Y180-T180</f>
        <v>1500</v>
      </c>
    </row>
    <row r="181" spans="1:28" ht="15.75" customHeight="1">
      <c r="A181" s="161" t="s">
        <v>317</v>
      </c>
      <c r="B181" s="161"/>
      <c r="C181" s="161" t="s">
        <v>1408</v>
      </c>
      <c r="D181" s="161"/>
      <c r="E181" s="162"/>
      <c r="F181" s="162"/>
      <c r="G181" s="163"/>
      <c r="H181" s="163"/>
      <c r="I181" s="165">
        <v>3831.76</v>
      </c>
      <c r="J181" s="168"/>
      <c r="K181" s="165">
        <v>3606.83</v>
      </c>
      <c r="L181" s="168"/>
      <c r="M181" s="165">
        <v>3483.54</v>
      </c>
      <c r="N181" s="165">
        <v>3319.33</v>
      </c>
      <c r="O181" s="168"/>
      <c r="P181" s="165">
        <v>4418.97</v>
      </c>
      <c r="Q181" s="168"/>
      <c r="R181" s="165">
        <v>2606.73</v>
      </c>
      <c r="S181" s="168"/>
      <c r="T181" s="282">
        <v>3000</v>
      </c>
      <c r="U181" s="282"/>
      <c r="V181" s="282">
        <v>4500</v>
      </c>
      <c r="W181" s="168"/>
      <c r="X181" s="168"/>
      <c r="Y181" s="282">
        <v>5000</v>
      </c>
      <c r="Z181" s="283">
        <f t="shared" si="17"/>
        <v>0.66666666666666663</v>
      </c>
      <c r="AA181" s="101">
        <f t="shared" si="18"/>
        <v>2000</v>
      </c>
    </row>
    <row r="182" spans="1:28" ht="15.75" customHeight="1">
      <c r="A182" s="161" t="s">
        <v>318</v>
      </c>
      <c r="B182" s="161"/>
      <c r="C182" s="161" t="s">
        <v>258</v>
      </c>
      <c r="D182" s="161"/>
      <c r="E182" s="162">
        <v>10297</v>
      </c>
      <c r="F182" s="162"/>
      <c r="G182" s="163"/>
      <c r="H182" s="163"/>
      <c r="I182" s="165">
        <v>1212.8399999999999</v>
      </c>
      <c r="J182" s="168"/>
      <c r="K182" s="165">
        <v>763.44</v>
      </c>
      <c r="L182" s="168"/>
      <c r="M182" s="165">
        <v>1145.22</v>
      </c>
      <c r="N182" s="165">
        <v>1057.3599999999999</v>
      </c>
      <c r="O182" s="168"/>
      <c r="P182" s="165">
        <v>1204.58</v>
      </c>
      <c r="Q182" s="168"/>
      <c r="R182" s="165">
        <v>480.23</v>
      </c>
      <c r="S182" s="168"/>
      <c r="T182" s="282">
        <v>1500</v>
      </c>
      <c r="U182" s="282"/>
      <c r="V182" s="282">
        <v>1500</v>
      </c>
      <c r="W182" s="168"/>
      <c r="X182" s="168"/>
      <c r="Y182" s="282">
        <v>1500</v>
      </c>
      <c r="Z182" s="283">
        <f t="shared" si="17"/>
        <v>0</v>
      </c>
      <c r="AA182" s="101">
        <f t="shared" si="18"/>
        <v>0</v>
      </c>
    </row>
    <row r="183" spans="1:28" ht="15.75" customHeight="1">
      <c r="A183" s="161" t="s">
        <v>319</v>
      </c>
      <c r="B183" s="161"/>
      <c r="C183" s="161" t="s">
        <v>259</v>
      </c>
      <c r="D183" s="161"/>
      <c r="E183" s="162">
        <v>10297</v>
      </c>
      <c r="F183" s="162"/>
      <c r="G183" s="163"/>
      <c r="H183" s="163"/>
      <c r="I183" s="165">
        <v>11866.43</v>
      </c>
      <c r="J183" s="168"/>
      <c r="K183" s="165">
        <v>15626</v>
      </c>
      <c r="L183" s="168"/>
      <c r="M183" s="165">
        <v>11730.62</v>
      </c>
      <c r="N183" s="165">
        <v>13702.4</v>
      </c>
      <c r="O183" s="168"/>
      <c r="P183" s="165">
        <v>15319.36</v>
      </c>
      <c r="Q183" s="168"/>
      <c r="R183" s="165">
        <v>15793</v>
      </c>
      <c r="S183" s="168"/>
      <c r="T183" s="282">
        <v>15000</v>
      </c>
      <c r="U183" s="282"/>
      <c r="V183" s="282">
        <v>23000</v>
      </c>
      <c r="W183" s="168"/>
      <c r="X183" s="168"/>
      <c r="Y183" s="282">
        <v>23000</v>
      </c>
      <c r="Z183" s="283">
        <f t="shared" si="17"/>
        <v>0.53333333333333333</v>
      </c>
      <c r="AA183" s="101">
        <f t="shared" si="18"/>
        <v>8000</v>
      </c>
    </row>
    <row r="184" spans="1:28" ht="15.75" customHeight="1">
      <c r="A184" s="161" t="s">
        <v>146</v>
      </c>
      <c r="B184" s="161"/>
      <c r="C184" s="161" t="s">
        <v>370</v>
      </c>
      <c r="D184" s="161"/>
      <c r="E184" s="162"/>
      <c r="F184" s="162"/>
      <c r="G184" s="163"/>
      <c r="H184" s="163"/>
      <c r="I184" s="165">
        <v>3167.26</v>
      </c>
      <c r="J184" s="168"/>
      <c r="K184" s="165">
        <v>2219.65</v>
      </c>
      <c r="L184" s="168"/>
      <c r="M184" s="165">
        <v>21</v>
      </c>
      <c r="N184" s="165">
        <v>336</v>
      </c>
      <c r="O184" s="168"/>
      <c r="P184" s="165">
        <v>2326.75</v>
      </c>
      <c r="Q184" s="168"/>
      <c r="R184" s="165">
        <v>462</v>
      </c>
      <c r="S184" s="168"/>
      <c r="T184" s="282">
        <v>750</v>
      </c>
      <c r="U184" s="282"/>
      <c r="V184" s="282">
        <v>500</v>
      </c>
      <c r="W184" s="168"/>
      <c r="X184" s="168"/>
      <c r="Y184" s="282">
        <v>750</v>
      </c>
      <c r="Z184" s="283">
        <f t="shared" si="17"/>
        <v>0</v>
      </c>
      <c r="AA184" s="101">
        <f t="shared" si="18"/>
        <v>0</v>
      </c>
    </row>
    <row r="185" spans="1:28" ht="15.75" customHeight="1">
      <c r="A185" s="161" t="s">
        <v>320</v>
      </c>
      <c r="B185" s="161"/>
      <c r="C185" s="161" t="s">
        <v>423</v>
      </c>
      <c r="D185" s="161"/>
      <c r="E185" s="162"/>
      <c r="F185" s="162"/>
      <c r="G185" s="163"/>
      <c r="H185" s="163"/>
      <c r="I185" s="165">
        <v>5177.22</v>
      </c>
      <c r="J185" s="168"/>
      <c r="K185" s="165">
        <v>4426.42</v>
      </c>
      <c r="L185" s="168"/>
      <c r="M185" s="165">
        <v>4493.1899999999996</v>
      </c>
      <c r="N185" s="165">
        <v>3279.38</v>
      </c>
      <c r="O185" s="168"/>
      <c r="P185" s="165">
        <v>7981.15</v>
      </c>
      <c r="Q185" s="168"/>
      <c r="R185" s="165">
        <v>9945.23</v>
      </c>
      <c r="S185" s="168"/>
      <c r="T185" s="282">
        <v>12000</v>
      </c>
      <c r="U185" s="282"/>
      <c r="V185" s="282">
        <v>9000</v>
      </c>
      <c r="W185" s="168"/>
      <c r="X185" s="168"/>
      <c r="Y185" s="282">
        <v>9000</v>
      </c>
      <c r="Z185" s="283">
        <f t="shared" si="17"/>
        <v>-0.25</v>
      </c>
      <c r="AA185" s="101">
        <f t="shared" si="18"/>
        <v>-3000</v>
      </c>
    </row>
    <row r="186" spans="1:28" ht="15.75" customHeight="1">
      <c r="A186" s="161" t="s">
        <v>801</v>
      </c>
      <c r="B186" s="161"/>
      <c r="C186" s="161" t="s">
        <v>802</v>
      </c>
      <c r="D186" s="161"/>
      <c r="E186" s="162"/>
      <c r="F186" s="162"/>
      <c r="G186" s="163"/>
      <c r="H186" s="163"/>
      <c r="I186" s="165">
        <v>0</v>
      </c>
      <c r="J186" s="168"/>
      <c r="K186" s="165">
        <v>0</v>
      </c>
      <c r="L186" s="168"/>
      <c r="M186" s="165">
        <v>1594.47</v>
      </c>
      <c r="N186" s="165">
        <v>3807.41</v>
      </c>
      <c r="O186" s="168"/>
      <c r="P186" s="165">
        <v>0</v>
      </c>
      <c r="Q186" s="168"/>
      <c r="R186" s="165">
        <v>11392.11</v>
      </c>
      <c r="S186" s="168"/>
      <c r="T186" s="282">
        <v>7500</v>
      </c>
      <c r="U186" s="282"/>
      <c r="V186" s="282">
        <v>6000</v>
      </c>
      <c r="W186" s="168"/>
      <c r="X186" s="168"/>
      <c r="Y186" s="282">
        <v>7500</v>
      </c>
      <c r="Z186" s="283">
        <f t="shared" si="17"/>
        <v>0</v>
      </c>
      <c r="AA186" s="101">
        <f t="shared" si="18"/>
        <v>0</v>
      </c>
    </row>
    <row r="187" spans="1:28" ht="15.75" customHeight="1">
      <c r="A187" s="161"/>
      <c r="B187" s="161"/>
      <c r="C187" s="177" t="s">
        <v>1361</v>
      </c>
      <c r="D187" s="161"/>
      <c r="E187" s="285">
        <f>SUM(E179:E186)</f>
        <v>83073</v>
      </c>
      <c r="F187" s="313"/>
      <c r="G187" s="314"/>
      <c r="H187" s="314"/>
      <c r="I187" s="287">
        <f>SUM(I179:I186)</f>
        <v>50167.87</v>
      </c>
      <c r="J187" s="288"/>
      <c r="K187" s="287">
        <f>SUM(K179:K186)</f>
        <v>53898.1</v>
      </c>
      <c r="L187" s="288"/>
      <c r="M187" s="287">
        <f>SUM(M179:M186)</f>
        <v>46576.760000000009</v>
      </c>
      <c r="N187" s="287">
        <f>SUM(N179:N186)</f>
        <v>58978.259999999995</v>
      </c>
      <c r="O187" s="288"/>
      <c r="P187" s="287">
        <f>SUM(P179:P186)</f>
        <v>58751.030000000006</v>
      </c>
      <c r="Q187" s="288"/>
      <c r="R187" s="242">
        <f>SUM(R179:R186)</f>
        <v>84126.650000000009</v>
      </c>
      <c r="S187" s="289"/>
      <c r="T187" s="242">
        <f>SUM(T179:T186)</f>
        <v>81250</v>
      </c>
      <c r="U187" s="242">
        <f>SUM(U179:U186)</f>
        <v>0</v>
      </c>
      <c r="V187" s="242">
        <f>SUM(V179:V186)</f>
        <v>78500</v>
      </c>
      <c r="W187" s="289"/>
      <c r="X187" s="289"/>
      <c r="Y187" s="242">
        <f>SUM(Y179:Y186)</f>
        <v>84750</v>
      </c>
      <c r="Z187" s="291">
        <f>(Y187-T187)/T187</f>
        <v>4.3076923076923075E-2</v>
      </c>
      <c r="AA187" s="104">
        <f>SUM(AA179:AA186)</f>
        <v>3500</v>
      </c>
    </row>
    <row r="188" spans="1:28" ht="15.75" customHeight="1">
      <c r="C188" s="41"/>
      <c r="E188" s="107"/>
      <c r="F188" s="107"/>
      <c r="G188" s="99"/>
      <c r="H188" s="99"/>
      <c r="I188" s="108"/>
      <c r="J188" s="98"/>
      <c r="K188" s="108"/>
      <c r="L188" s="98"/>
      <c r="M188" s="108"/>
      <c r="N188" s="108"/>
      <c r="O188" s="98"/>
      <c r="P188" s="108"/>
      <c r="Q188" s="98"/>
      <c r="R188" s="108"/>
      <c r="S188" s="98"/>
      <c r="T188" s="108"/>
      <c r="U188" s="108"/>
      <c r="V188" s="108"/>
      <c r="W188" s="98"/>
      <c r="X188" s="98"/>
      <c r="Y188" s="108"/>
      <c r="Z188" s="115"/>
    </row>
    <row r="189" spans="1:28" ht="15.75" customHeight="1">
      <c r="A189" s="161"/>
      <c r="B189" s="161"/>
      <c r="C189" s="265" t="s">
        <v>337</v>
      </c>
      <c r="D189" s="161"/>
      <c r="E189" s="162"/>
      <c r="F189" s="162"/>
      <c r="G189" s="163"/>
      <c r="H189" s="163"/>
      <c r="I189" s="165"/>
      <c r="J189" s="167"/>
      <c r="K189" s="165"/>
      <c r="L189" s="167"/>
      <c r="M189" s="165"/>
      <c r="N189" s="165"/>
      <c r="O189" s="167"/>
      <c r="P189" s="165"/>
      <c r="Q189" s="167"/>
      <c r="R189" s="165"/>
      <c r="S189" s="167"/>
      <c r="T189" s="311"/>
      <c r="U189" s="167"/>
      <c r="V189" s="167"/>
      <c r="W189" s="167"/>
      <c r="X189" s="167"/>
      <c r="Y189" s="311"/>
      <c r="Z189" s="283"/>
    </row>
    <row r="190" spans="1:28" ht="15.75" customHeight="1">
      <c r="A190" s="161" t="s">
        <v>321</v>
      </c>
      <c r="B190" s="161"/>
      <c r="C190" s="161" t="s">
        <v>264</v>
      </c>
      <c r="D190" s="161"/>
      <c r="E190" s="162"/>
      <c r="F190" s="162"/>
      <c r="G190" s="163"/>
      <c r="H190" s="163"/>
      <c r="I190" s="165">
        <v>1760.63</v>
      </c>
      <c r="J190" s="167"/>
      <c r="K190" s="165">
        <v>1862.17</v>
      </c>
      <c r="L190" s="167"/>
      <c r="M190" s="165">
        <v>517.16999999999996</v>
      </c>
      <c r="N190" s="165">
        <v>1821.2</v>
      </c>
      <c r="O190" s="167"/>
      <c r="P190" s="165">
        <v>2091.19</v>
      </c>
      <c r="Q190" s="167"/>
      <c r="R190" s="165">
        <v>3180.58</v>
      </c>
      <c r="S190" s="167"/>
      <c r="T190" s="282">
        <v>4500</v>
      </c>
      <c r="U190" s="282"/>
      <c r="V190" s="282">
        <v>8500</v>
      </c>
      <c r="W190" s="167"/>
      <c r="X190" s="167"/>
      <c r="Y190" s="282">
        <v>4500</v>
      </c>
      <c r="Z190" s="283">
        <f t="shared" ref="Z190:Z198" si="19">(Y190-T190)/T190</f>
        <v>0</v>
      </c>
      <c r="AA190" s="101">
        <f>Y190-T190</f>
        <v>0</v>
      </c>
    </row>
    <row r="191" spans="1:28" ht="15.75" customHeight="1">
      <c r="A191" s="161" t="s">
        <v>322</v>
      </c>
      <c r="B191" s="161"/>
      <c r="C191" s="161" t="s">
        <v>265</v>
      </c>
      <c r="D191" s="161"/>
      <c r="E191" s="162"/>
      <c r="F191" s="162"/>
      <c r="G191" s="163"/>
      <c r="H191" s="163"/>
      <c r="I191" s="165">
        <v>125</v>
      </c>
      <c r="J191" s="167"/>
      <c r="K191" s="165">
        <v>1140.5</v>
      </c>
      <c r="L191" s="167"/>
      <c r="M191" s="165">
        <v>1688.78</v>
      </c>
      <c r="N191" s="165">
        <v>3026.16</v>
      </c>
      <c r="O191" s="167"/>
      <c r="P191" s="165">
        <v>1523.59</v>
      </c>
      <c r="Q191" s="167"/>
      <c r="R191" s="165">
        <v>5286.05</v>
      </c>
      <c r="S191" s="167"/>
      <c r="T191" s="282">
        <v>6000</v>
      </c>
      <c r="U191" s="282"/>
      <c r="V191" s="282">
        <v>5000</v>
      </c>
      <c r="W191" s="167"/>
      <c r="X191" s="167"/>
      <c r="Y191" s="282">
        <v>6000</v>
      </c>
      <c r="Z191" s="283">
        <f t="shared" si="19"/>
        <v>0</v>
      </c>
      <c r="AA191" s="101">
        <f t="shared" ref="AA191:AA198" si="20">Y191-T191</f>
        <v>0</v>
      </c>
    </row>
    <row r="192" spans="1:28" ht="15.75" customHeight="1">
      <c r="A192" s="161" t="s">
        <v>326</v>
      </c>
      <c r="B192" s="161"/>
      <c r="C192" s="161" t="s">
        <v>71</v>
      </c>
      <c r="D192" s="161"/>
      <c r="E192" s="162"/>
      <c r="F192" s="162"/>
      <c r="G192" s="163"/>
      <c r="H192" s="163"/>
      <c r="I192" s="165">
        <v>2065.9699999999998</v>
      </c>
      <c r="J192" s="167"/>
      <c r="K192" s="165">
        <v>1860.55</v>
      </c>
      <c r="L192" s="167"/>
      <c r="M192" s="165">
        <v>2553.83</v>
      </c>
      <c r="N192" s="165">
        <v>1432.07</v>
      </c>
      <c r="O192" s="167"/>
      <c r="P192" s="165">
        <v>4409.87</v>
      </c>
      <c r="Q192" s="167"/>
      <c r="R192" s="165">
        <v>5689.86</v>
      </c>
      <c r="S192" s="167"/>
      <c r="T192" s="282">
        <v>6000</v>
      </c>
      <c r="U192" s="282"/>
      <c r="V192" s="282">
        <v>8500</v>
      </c>
      <c r="W192" s="167"/>
      <c r="X192" s="167"/>
      <c r="Y192" s="282">
        <v>6000</v>
      </c>
      <c r="Z192" s="283">
        <f t="shared" si="19"/>
        <v>0</v>
      </c>
      <c r="AA192" s="101">
        <f t="shared" si="20"/>
        <v>0</v>
      </c>
    </row>
    <row r="193" spans="1:28" ht="15.75" customHeight="1">
      <c r="A193" s="161" t="s">
        <v>327</v>
      </c>
      <c r="B193" s="161"/>
      <c r="C193" s="161" t="s">
        <v>260</v>
      </c>
      <c r="D193" s="161"/>
      <c r="E193" s="162"/>
      <c r="F193" s="162"/>
      <c r="G193" s="163"/>
      <c r="H193" s="163"/>
      <c r="I193" s="165">
        <v>963.88</v>
      </c>
      <c r="J193" s="167"/>
      <c r="K193" s="165">
        <v>1704.1</v>
      </c>
      <c r="L193" s="167"/>
      <c r="M193" s="165">
        <v>1123.18</v>
      </c>
      <c r="N193" s="165">
        <v>2018.94</v>
      </c>
      <c r="O193" s="167"/>
      <c r="P193" s="165">
        <v>722.22</v>
      </c>
      <c r="Q193" s="167"/>
      <c r="R193" s="165">
        <v>6328.7</v>
      </c>
      <c r="S193" s="167"/>
      <c r="T193" s="282">
        <v>5000</v>
      </c>
      <c r="U193" s="282"/>
      <c r="V193" s="282">
        <v>7500</v>
      </c>
      <c r="W193" s="167"/>
      <c r="X193" s="167"/>
      <c r="Y193" s="282">
        <v>5000</v>
      </c>
      <c r="Z193" s="283">
        <f t="shared" si="19"/>
        <v>0</v>
      </c>
      <c r="AA193" s="101">
        <f t="shared" si="20"/>
        <v>0</v>
      </c>
    </row>
    <row r="194" spans="1:28" ht="15.75" customHeight="1">
      <c r="A194" s="161" t="s">
        <v>328</v>
      </c>
      <c r="B194" s="161"/>
      <c r="C194" s="161" t="s">
        <v>266</v>
      </c>
      <c r="D194" s="161"/>
      <c r="E194" s="162"/>
      <c r="F194" s="162"/>
      <c r="G194" s="163"/>
      <c r="H194" s="163"/>
      <c r="I194" s="165">
        <v>27604.82</v>
      </c>
      <c r="J194" s="167"/>
      <c r="K194" s="165">
        <v>24320.17</v>
      </c>
      <c r="L194" s="167"/>
      <c r="M194" s="165">
        <v>15444.27</v>
      </c>
      <c r="N194" s="165">
        <v>40194.74</v>
      </c>
      <c r="O194" s="167"/>
      <c r="P194" s="165">
        <v>36978.39</v>
      </c>
      <c r="Q194" s="167"/>
      <c r="R194" s="165">
        <v>14453.91</v>
      </c>
      <c r="S194" s="167"/>
      <c r="T194" s="282">
        <v>25000</v>
      </c>
      <c r="U194" s="282"/>
      <c r="V194" s="282">
        <v>52000</v>
      </c>
      <c r="W194" s="167"/>
      <c r="X194" s="167"/>
      <c r="Y194" s="282">
        <v>40000</v>
      </c>
      <c r="Z194" s="283">
        <f t="shared" si="19"/>
        <v>0.6</v>
      </c>
      <c r="AA194" s="101">
        <f t="shared" si="20"/>
        <v>15000</v>
      </c>
    </row>
    <row r="195" spans="1:28" ht="15.75" customHeight="1">
      <c r="A195" s="161" t="s">
        <v>329</v>
      </c>
      <c r="B195" s="161"/>
      <c r="C195" s="161" t="s">
        <v>267</v>
      </c>
      <c r="D195" s="161"/>
      <c r="E195" s="162"/>
      <c r="F195" s="162"/>
      <c r="G195" s="163"/>
      <c r="H195" s="163"/>
      <c r="I195" s="165">
        <v>-30124.77</v>
      </c>
      <c r="J195" s="167"/>
      <c r="K195" s="165">
        <v>5653.81</v>
      </c>
      <c r="L195" s="167"/>
      <c r="M195" s="165">
        <v>5679.97</v>
      </c>
      <c r="N195" s="165">
        <v>4228.67</v>
      </c>
      <c r="O195" s="167"/>
      <c r="P195" s="165">
        <v>4218.3100000000004</v>
      </c>
      <c r="Q195" s="167"/>
      <c r="R195" s="165">
        <v>47595.77</v>
      </c>
      <c r="S195" s="167"/>
      <c r="T195" s="282">
        <v>10000</v>
      </c>
      <c r="U195" s="282"/>
      <c r="V195" s="282">
        <v>46000</v>
      </c>
      <c r="W195" s="167"/>
      <c r="X195" s="167"/>
      <c r="Y195" s="282">
        <v>10000</v>
      </c>
      <c r="Z195" s="283">
        <f t="shared" si="19"/>
        <v>0</v>
      </c>
      <c r="AA195" s="101">
        <f t="shared" si="20"/>
        <v>0</v>
      </c>
    </row>
    <row r="196" spans="1:28" ht="15.75" customHeight="1">
      <c r="A196" s="161" t="s">
        <v>330</v>
      </c>
      <c r="B196" s="161"/>
      <c r="C196" s="161" t="s">
        <v>268</v>
      </c>
      <c r="D196" s="161"/>
      <c r="E196" s="162"/>
      <c r="F196" s="162"/>
      <c r="G196" s="163"/>
      <c r="H196" s="163"/>
      <c r="I196" s="165">
        <v>1058.44</v>
      </c>
      <c r="J196" s="167"/>
      <c r="K196" s="165">
        <v>748.46</v>
      </c>
      <c r="L196" s="167"/>
      <c r="M196" s="165">
        <v>251.99</v>
      </c>
      <c r="N196" s="165">
        <v>1159.8</v>
      </c>
      <c r="O196" s="167"/>
      <c r="P196" s="165">
        <v>119.15</v>
      </c>
      <c r="Q196" s="167"/>
      <c r="R196" s="165">
        <v>3438.69</v>
      </c>
      <c r="S196" s="167"/>
      <c r="T196" s="282">
        <v>2000</v>
      </c>
      <c r="U196" s="282"/>
      <c r="V196" s="282">
        <v>1000</v>
      </c>
      <c r="W196" s="167"/>
      <c r="X196" s="167"/>
      <c r="Y196" s="282">
        <v>2000</v>
      </c>
      <c r="Z196" s="283">
        <f t="shared" si="19"/>
        <v>0</v>
      </c>
      <c r="AA196" s="101">
        <f t="shared" si="20"/>
        <v>0</v>
      </c>
    </row>
    <row r="197" spans="1:28" ht="15.75" customHeight="1">
      <c r="A197" s="161" t="s">
        <v>331</v>
      </c>
      <c r="B197" s="161"/>
      <c r="C197" s="161" t="s">
        <v>269</v>
      </c>
      <c r="D197" s="161"/>
      <c r="E197" s="162"/>
      <c r="F197" s="162"/>
      <c r="G197" s="163"/>
      <c r="H197" s="163"/>
      <c r="I197" s="165">
        <v>20734.88</v>
      </c>
      <c r="J197" s="167"/>
      <c r="K197" s="165">
        <v>21508.02</v>
      </c>
      <c r="L197" s="167"/>
      <c r="M197" s="165">
        <v>11792.86</v>
      </c>
      <c r="N197" s="165">
        <v>38131.29</v>
      </c>
      <c r="O197" s="167"/>
      <c r="P197" s="165">
        <v>43085.02</v>
      </c>
      <c r="Q197" s="167"/>
      <c r="R197" s="165">
        <v>23811.96</v>
      </c>
      <c r="S197" s="167"/>
      <c r="T197" s="282">
        <v>40000</v>
      </c>
      <c r="U197" s="282"/>
      <c r="V197" s="282">
        <v>37500</v>
      </c>
      <c r="W197" s="167"/>
      <c r="X197" s="167"/>
      <c r="Y197" s="282">
        <v>40000</v>
      </c>
      <c r="Z197" s="283">
        <f t="shared" si="19"/>
        <v>0</v>
      </c>
      <c r="AA197" s="101">
        <f t="shared" si="20"/>
        <v>0</v>
      </c>
    </row>
    <row r="198" spans="1:28" ht="15.75" customHeight="1">
      <c r="A198" s="161" t="s">
        <v>325</v>
      </c>
      <c r="B198" s="161"/>
      <c r="C198" s="161" t="s">
        <v>271</v>
      </c>
      <c r="D198" s="161"/>
      <c r="E198" s="162"/>
      <c r="F198" s="162"/>
      <c r="G198" s="163"/>
      <c r="H198" s="163"/>
      <c r="I198" s="165">
        <v>8815</v>
      </c>
      <c r="J198" s="167"/>
      <c r="K198" s="165">
        <v>5370</v>
      </c>
      <c r="L198" s="167"/>
      <c r="M198" s="165">
        <v>10945</v>
      </c>
      <c r="N198" s="165">
        <v>7125</v>
      </c>
      <c r="O198" s="167"/>
      <c r="P198" s="165">
        <v>2625</v>
      </c>
      <c r="Q198" s="167"/>
      <c r="R198" s="165">
        <v>6363</v>
      </c>
      <c r="S198" s="167"/>
      <c r="T198" s="282">
        <v>10000</v>
      </c>
      <c r="U198" s="282"/>
      <c r="V198" s="282">
        <v>6000</v>
      </c>
      <c r="W198" s="167"/>
      <c r="X198" s="167"/>
      <c r="Y198" s="282">
        <v>10000</v>
      </c>
      <c r="Z198" s="283">
        <f t="shared" si="19"/>
        <v>0</v>
      </c>
      <c r="AA198" s="101">
        <f t="shared" si="20"/>
        <v>0</v>
      </c>
    </row>
    <row r="199" spans="1:28" ht="15.75" customHeight="1">
      <c r="A199" s="161"/>
      <c r="B199" s="161"/>
      <c r="C199" s="177" t="s">
        <v>1362</v>
      </c>
      <c r="D199" s="161"/>
      <c r="E199" s="285" t="e">
        <f>SUM(#REF!)</f>
        <v>#REF!</v>
      </c>
      <c r="F199" s="313"/>
      <c r="G199" s="314"/>
      <c r="H199" s="314"/>
      <c r="I199" s="287">
        <f>SUM(I190:I197)</f>
        <v>24188.85</v>
      </c>
      <c r="J199" s="339"/>
      <c r="K199" s="287">
        <f>SUM(K190:K197)</f>
        <v>58797.78</v>
      </c>
      <c r="L199" s="339"/>
      <c r="M199" s="287">
        <f>SUM(M190:M197)</f>
        <v>39052.050000000003</v>
      </c>
      <c r="N199" s="287">
        <f>SUM(N190:N197)</f>
        <v>92012.87</v>
      </c>
      <c r="O199" s="339"/>
      <c r="P199" s="287">
        <f>SUM(P190:P197)</f>
        <v>93147.739999999991</v>
      </c>
      <c r="Q199" s="339"/>
      <c r="R199" s="242">
        <f>SUM(R190:R198)</f>
        <v>116148.51999999999</v>
      </c>
      <c r="S199" s="340"/>
      <c r="T199" s="242">
        <f>SUM(T190:T198)</f>
        <v>108500</v>
      </c>
      <c r="U199" s="242">
        <f>SUM(U190:U197)</f>
        <v>0</v>
      </c>
      <c r="V199" s="242">
        <f>SUM(V190:V198)</f>
        <v>172000</v>
      </c>
      <c r="W199" s="340"/>
      <c r="X199" s="340"/>
      <c r="Y199" s="242">
        <f>SUM(Y190:Y198)</f>
        <v>123500</v>
      </c>
      <c r="Z199" s="291">
        <f>(Y199-T199)/T199</f>
        <v>0.13824884792626729</v>
      </c>
      <c r="AA199" s="104">
        <f>SUM(AA190:AA198)</f>
        <v>15000</v>
      </c>
    </row>
    <row r="200" spans="1:28" s="103" customFormat="1" ht="16.5">
      <c r="A200" s="92"/>
      <c r="B200" s="100"/>
      <c r="C200" s="41"/>
      <c r="D200" s="96"/>
      <c r="E200" s="108"/>
      <c r="F200" s="96"/>
      <c r="G200" s="108"/>
      <c r="H200" s="96"/>
      <c r="I200" s="108"/>
      <c r="J200" s="107"/>
      <c r="K200" s="108"/>
      <c r="L200" s="107"/>
      <c r="M200" s="108"/>
      <c r="N200" s="108"/>
      <c r="O200" s="107"/>
      <c r="P200" s="108"/>
      <c r="Q200" s="107"/>
      <c r="R200" s="108"/>
      <c r="S200" s="107"/>
    </row>
    <row r="201" spans="1:28" s="103" customFormat="1" ht="16.5">
      <c r="A201" s="160"/>
      <c r="B201" s="160"/>
      <c r="C201" s="329" t="s">
        <v>1349</v>
      </c>
      <c r="D201" s="330"/>
      <c r="E201" s="162"/>
      <c r="F201" s="331"/>
      <c r="G201" s="162"/>
      <c r="H201" s="260"/>
      <c r="I201" s="165"/>
      <c r="J201" s="165"/>
      <c r="K201" s="165"/>
      <c r="L201" s="165"/>
      <c r="M201" s="165"/>
      <c r="N201" s="165"/>
      <c r="O201" s="165"/>
      <c r="P201" s="165"/>
      <c r="Q201" s="165"/>
      <c r="R201" s="165"/>
      <c r="S201" s="165"/>
      <c r="T201" s="188"/>
      <c r="U201" s="160"/>
      <c r="V201" s="188"/>
      <c r="W201" s="188"/>
      <c r="X201" s="188"/>
      <c r="Y201" s="188"/>
      <c r="Z201" s="188"/>
    </row>
    <row r="202" spans="1:28" s="111" customFormat="1">
      <c r="A202" s="420" t="s">
        <v>855</v>
      </c>
      <c r="B202" s="420"/>
      <c r="C202" s="160" t="s">
        <v>381</v>
      </c>
      <c r="D202" s="160"/>
      <c r="E202" s="165"/>
      <c r="F202" s="165">
        <v>96959</v>
      </c>
      <c r="G202" s="165"/>
      <c r="H202" s="165">
        <v>0</v>
      </c>
      <c r="I202" s="178">
        <v>0</v>
      </c>
      <c r="J202" s="180">
        <v>0</v>
      </c>
      <c r="K202" s="178">
        <v>0</v>
      </c>
      <c r="L202" s="180">
        <v>0</v>
      </c>
      <c r="M202" s="178">
        <v>1065.8</v>
      </c>
      <c r="N202" s="178">
        <v>4379.3</v>
      </c>
      <c r="O202" s="180"/>
      <c r="P202" s="178">
        <v>4379.58</v>
      </c>
      <c r="Q202" s="180"/>
      <c r="R202" s="178">
        <v>9469.08</v>
      </c>
      <c r="S202" s="180"/>
      <c r="T202" s="180">
        <v>20210</v>
      </c>
      <c r="U202" s="180"/>
      <c r="V202" s="180">
        <v>20210</v>
      </c>
      <c r="W202" s="196"/>
      <c r="X202" s="196"/>
      <c r="Y202" s="180">
        <v>19500</v>
      </c>
      <c r="Z202" s="283">
        <f>(Y202-T202)/T202</f>
        <v>-3.5131123206333499E-2</v>
      </c>
      <c r="AA202" s="101">
        <f>Y202-T202</f>
        <v>-710</v>
      </c>
      <c r="AB202" s="180"/>
    </row>
    <row r="203" spans="1:28">
      <c r="A203" s="161" t="s">
        <v>856</v>
      </c>
      <c r="B203" s="161"/>
      <c r="C203" s="160" t="s">
        <v>158</v>
      </c>
      <c r="D203" s="160"/>
      <c r="E203" s="165"/>
      <c r="F203" s="165">
        <v>369</v>
      </c>
      <c r="G203" s="165"/>
      <c r="H203" s="165">
        <v>0</v>
      </c>
      <c r="I203" s="178">
        <v>0</v>
      </c>
      <c r="J203" s="180">
        <v>0</v>
      </c>
      <c r="K203" s="178">
        <v>0</v>
      </c>
      <c r="L203" s="180">
        <v>0</v>
      </c>
      <c r="M203" s="178">
        <v>0</v>
      </c>
      <c r="N203" s="178"/>
      <c r="O203" s="180"/>
      <c r="P203" s="178">
        <v>0</v>
      </c>
      <c r="Q203" s="180"/>
      <c r="R203" s="178">
        <v>0</v>
      </c>
      <c r="S203" s="180"/>
      <c r="T203" s="180">
        <v>250</v>
      </c>
      <c r="U203" s="180"/>
      <c r="V203" s="180">
        <v>0</v>
      </c>
      <c r="W203" s="160"/>
      <c r="X203" s="160"/>
      <c r="Y203" s="180">
        <v>0</v>
      </c>
      <c r="Z203" s="283">
        <f t="shared" ref="Z203:Z217" si="21">(Y203-T203)/T203</f>
        <v>-1</v>
      </c>
      <c r="AA203" s="101">
        <f t="shared" ref="AA203:AA218" si="22">Y203-T203</f>
        <v>-250</v>
      </c>
      <c r="AB203" s="180"/>
    </row>
    <row r="204" spans="1:28">
      <c r="A204" s="161" t="s">
        <v>857</v>
      </c>
      <c r="B204" s="161"/>
      <c r="C204" s="160" t="s">
        <v>105</v>
      </c>
      <c r="D204" s="160"/>
      <c r="E204" s="165"/>
      <c r="F204" s="165">
        <v>6771</v>
      </c>
      <c r="G204" s="165"/>
      <c r="H204" s="165">
        <v>0</v>
      </c>
      <c r="I204" s="178">
        <v>0</v>
      </c>
      <c r="J204" s="180">
        <v>0</v>
      </c>
      <c r="K204" s="178">
        <v>0</v>
      </c>
      <c r="L204" s="180">
        <v>0</v>
      </c>
      <c r="M204" s="178">
        <v>58.96</v>
      </c>
      <c r="N204" s="178">
        <v>238.52</v>
      </c>
      <c r="O204" s="180"/>
      <c r="P204" s="178">
        <v>259.74</v>
      </c>
      <c r="Q204" s="180"/>
      <c r="R204" s="178">
        <v>571.85</v>
      </c>
      <c r="S204" s="180"/>
      <c r="T204" s="180">
        <v>1269</v>
      </c>
      <c r="U204" s="180"/>
      <c r="V204" s="180">
        <v>1269</v>
      </c>
      <c r="W204" s="160"/>
      <c r="X204" s="160"/>
      <c r="Y204" s="180">
        <v>1209</v>
      </c>
      <c r="Z204" s="283">
        <f t="shared" si="21"/>
        <v>-4.7281323877068557E-2</v>
      </c>
      <c r="AA204" s="101">
        <f t="shared" si="22"/>
        <v>-60</v>
      </c>
      <c r="AB204" s="180"/>
    </row>
    <row r="205" spans="1:28">
      <c r="A205" s="161" t="s">
        <v>858</v>
      </c>
      <c r="B205" s="161"/>
      <c r="C205" s="160" t="s">
        <v>67</v>
      </c>
      <c r="D205" s="160"/>
      <c r="E205" s="165"/>
      <c r="F205" s="165">
        <v>1646</v>
      </c>
      <c r="G205" s="165"/>
      <c r="H205" s="165">
        <v>0</v>
      </c>
      <c r="I205" s="178">
        <v>0</v>
      </c>
      <c r="J205" s="180">
        <v>0</v>
      </c>
      <c r="K205" s="178">
        <v>0</v>
      </c>
      <c r="L205" s="180">
        <v>0</v>
      </c>
      <c r="M205" s="178">
        <v>13.81</v>
      </c>
      <c r="N205" s="178">
        <v>55.77</v>
      </c>
      <c r="O205" s="180"/>
      <c r="P205" s="178">
        <v>60.78</v>
      </c>
      <c r="Q205" s="180"/>
      <c r="R205" s="178">
        <v>133.80000000000001</v>
      </c>
      <c r="S205" s="180"/>
      <c r="T205" s="180">
        <v>297</v>
      </c>
      <c r="U205" s="180"/>
      <c r="V205" s="180">
        <v>297</v>
      </c>
      <c r="W205" s="160"/>
      <c r="X205" s="160"/>
      <c r="Y205" s="180">
        <v>283</v>
      </c>
      <c r="Z205" s="283">
        <f t="shared" si="21"/>
        <v>-4.7138047138047139E-2</v>
      </c>
      <c r="AA205" s="101">
        <f t="shared" si="22"/>
        <v>-14</v>
      </c>
      <c r="AB205" s="180"/>
    </row>
    <row r="206" spans="1:28">
      <c r="A206" s="161" t="s">
        <v>859</v>
      </c>
      <c r="B206" s="161"/>
      <c r="C206" s="160" t="s">
        <v>162</v>
      </c>
      <c r="D206" s="160"/>
      <c r="E206" s="165"/>
      <c r="F206" s="165">
        <v>13059</v>
      </c>
      <c r="G206" s="165"/>
      <c r="H206" s="165">
        <v>0</v>
      </c>
      <c r="I206" s="178">
        <v>0</v>
      </c>
      <c r="J206" s="180">
        <v>0</v>
      </c>
      <c r="K206" s="178">
        <v>0</v>
      </c>
      <c r="L206" s="180">
        <v>0</v>
      </c>
      <c r="M206" s="178">
        <v>547.79999999999995</v>
      </c>
      <c r="N206" s="178">
        <v>3227.98</v>
      </c>
      <c r="O206" s="180"/>
      <c r="P206" s="178">
        <v>1384.56</v>
      </c>
      <c r="Q206" s="180"/>
      <c r="R206" s="178">
        <v>1325.89</v>
      </c>
      <c r="S206" s="180"/>
      <c r="T206" s="180">
        <v>2752</v>
      </c>
      <c r="U206" s="180"/>
      <c r="V206" s="180">
        <v>1620</v>
      </c>
      <c r="W206" s="160"/>
      <c r="X206" s="160"/>
      <c r="Y206" s="180">
        <v>1486</v>
      </c>
      <c r="Z206" s="283">
        <f t="shared" si="21"/>
        <v>-0.46002906976744184</v>
      </c>
      <c r="AA206" s="101">
        <f t="shared" si="22"/>
        <v>-1266</v>
      </c>
      <c r="AB206" s="180"/>
    </row>
    <row r="207" spans="1:28">
      <c r="A207" s="161" t="s">
        <v>860</v>
      </c>
      <c r="B207" s="161"/>
      <c r="C207" s="160" t="s">
        <v>69</v>
      </c>
      <c r="D207" s="160"/>
      <c r="E207" s="165"/>
      <c r="F207" s="165">
        <v>1010</v>
      </c>
      <c r="G207" s="165"/>
      <c r="H207" s="165">
        <v>0</v>
      </c>
      <c r="I207" s="178">
        <v>0</v>
      </c>
      <c r="J207" s="180">
        <v>0</v>
      </c>
      <c r="K207" s="178">
        <v>0</v>
      </c>
      <c r="L207" s="180">
        <v>0</v>
      </c>
      <c r="M207" s="178">
        <v>0.65</v>
      </c>
      <c r="N207" s="178">
        <v>25.79</v>
      </c>
      <c r="O207" s="180"/>
      <c r="P207" s="178">
        <v>21.6</v>
      </c>
      <c r="Q207" s="180"/>
      <c r="R207" s="178">
        <v>51.52</v>
      </c>
      <c r="S207" s="180"/>
      <c r="T207" s="180">
        <v>126</v>
      </c>
      <c r="U207" s="180"/>
      <c r="V207" s="180">
        <v>5</v>
      </c>
      <c r="W207" s="160"/>
      <c r="X207" s="160"/>
      <c r="Y207" s="180">
        <v>23</v>
      </c>
      <c r="Z207" s="283">
        <f t="shared" si="21"/>
        <v>-0.81746031746031744</v>
      </c>
      <c r="AA207" s="101">
        <f t="shared" si="22"/>
        <v>-103</v>
      </c>
      <c r="AB207" s="180"/>
    </row>
    <row r="208" spans="1:28">
      <c r="A208" s="161" t="s">
        <v>861</v>
      </c>
      <c r="B208" s="161"/>
      <c r="C208" s="160" t="s">
        <v>165</v>
      </c>
      <c r="D208" s="160"/>
      <c r="E208" s="165"/>
      <c r="F208" s="165">
        <v>5607</v>
      </c>
      <c r="G208" s="165"/>
      <c r="H208" s="165">
        <v>0</v>
      </c>
      <c r="I208" s="178">
        <v>0</v>
      </c>
      <c r="J208" s="180">
        <v>0</v>
      </c>
      <c r="K208" s="178">
        <v>0</v>
      </c>
      <c r="L208" s="180">
        <v>0</v>
      </c>
      <c r="M208" s="178">
        <v>35.39</v>
      </c>
      <c r="N208" s="178">
        <v>52.78</v>
      </c>
      <c r="O208" s="180"/>
      <c r="P208" s="178">
        <v>53.69</v>
      </c>
      <c r="Q208" s="180"/>
      <c r="R208" s="178">
        <v>701.3</v>
      </c>
      <c r="S208" s="180"/>
      <c r="T208" s="180">
        <v>1512</v>
      </c>
      <c r="U208" s="180"/>
      <c r="V208" s="180">
        <v>1450</v>
      </c>
      <c r="W208" s="160"/>
      <c r="X208" s="160"/>
      <c r="Y208" s="180">
        <v>1367</v>
      </c>
      <c r="Z208" s="283">
        <f t="shared" si="21"/>
        <v>-9.5899470899470901E-2</v>
      </c>
      <c r="AA208" s="101">
        <f t="shared" si="22"/>
        <v>-145</v>
      </c>
      <c r="AB208" s="180"/>
    </row>
    <row r="209" spans="1:28">
      <c r="A209" s="161" t="s">
        <v>862</v>
      </c>
      <c r="B209" s="161"/>
      <c r="C209" s="160" t="s">
        <v>106</v>
      </c>
      <c r="D209" s="160"/>
      <c r="E209" s="253"/>
      <c r="F209" s="165">
        <v>1190</v>
      </c>
      <c r="G209" s="253"/>
      <c r="H209" s="165">
        <v>0</v>
      </c>
      <c r="I209" s="178">
        <v>0</v>
      </c>
      <c r="J209" s="180">
        <v>0</v>
      </c>
      <c r="K209" s="178">
        <v>0</v>
      </c>
      <c r="L209" s="180">
        <v>0</v>
      </c>
      <c r="M209" s="178">
        <v>6.83</v>
      </c>
      <c r="N209" s="178">
        <v>22.1</v>
      </c>
      <c r="O209" s="180"/>
      <c r="P209" s="178">
        <v>21.96</v>
      </c>
      <c r="Q209" s="180"/>
      <c r="R209" s="178">
        <v>22.49</v>
      </c>
      <c r="S209" s="180"/>
      <c r="T209" s="180">
        <v>48</v>
      </c>
      <c r="U209" s="180"/>
      <c r="V209" s="180">
        <v>48</v>
      </c>
      <c r="W209" s="160"/>
      <c r="X209" s="160"/>
      <c r="Y209" s="180">
        <v>46</v>
      </c>
      <c r="Z209" s="283">
        <f t="shared" si="21"/>
        <v>-4.1666666666666664E-2</v>
      </c>
      <c r="AA209" s="101">
        <f t="shared" si="22"/>
        <v>-2</v>
      </c>
      <c r="AB209" s="180"/>
    </row>
    <row r="210" spans="1:28">
      <c r="A210" s="161" t="s">
        <v>863</v>
      </c>
      <c r="B210" s="161"/>
      <c r="C210" s="160" t="s">
        <v>392</v>
      </c>
      <c r="D210" s="160"/>
      <c r="E210" s="253"/>
      <c r="F210" s="165">
        <v>218</v>
      </c>
      <c r="G210" s="253"/>
      <c r="H210" s="165">
        <v>0</v>
      </c>
      <c r="I210" s="178">
        <v>0</v>
      </c>
      <c r="J210" s="180">
        <v>0</v>
      </c>
      <c r="K210" s="178">
        <v>0</v>
      </c>
      <c r="L210" s="180">
        <v>0</v>
      </c>
      <c r="M210" s="178">
        <v>2.31</v>
      </c>
      <c r="N210" s="178">
        <v>13.18</v>
      </c>
      <c r="O210" s="180"/>
      <c r="P210" s="178">
        <v>14.4</v>
      </c>
      <c r="Q210" s="180"/>
      <c r="R210" s="178">
        <v>11.25</v>
      </c>
      <c r="S210" s="180"/>
      <c r="T210" s="180">
        <v>22</v>
      </c>
      <c r="U210" s="180"/>
      <c r="V210" s="180">
        <v>22</v>
      </c>
      <c r="W210" s="160"/>
      <c r="X210" s="160"/>
      <c r="Y210" s="180">
        <v>10</v>
      </c>
      <c r="Z210" s="283">
        <f t="shared" si="21"/>
        <v>-0.54545454545454541</v>
      </c>
      <c r="AA210" s="101">
        <f t="shared" si="22"/>
        <v>-12</v>
      </c>
      <c r="AB210" s="180"/>
    </row>
    <row r="211" spans="1:28">
      <c r="A211" s="161" t="s">
        <v>1327</v>
      </c>
      <c r="B211" s="161"/>
      <c r="C211" s="160" t="s">
        <v>1189</v>
      </c>
      <c r="D211" s="160"/>
      <c r="E211" s="253"/>
      <c r="F211" s="165"/>
      <c r="G211" s="253"/>
      <c r="H211" s="165"/>
      <c r="I211" s="178"/>
      <c r="J211" s="180"/>
      <c r="K211" s="178"/>
      <c r="L211" s="180"/>
      <c r="M211" s="178"/>
      <c r="N211" s="178"/>
      <c r="O211" s="180"/>
      <c r="P211" s="178">
        <v>0</v>
      </c>
      <c r="Q211" s="180"/>
      <c r="R211" s="178">
        <v>4500</v>
      </c>
      <c r="S211" s="180"/>
      <c r="T211" s="180">
        <v>4800</v>
      </c>
      <c r="U211" s="180"/>
      <c r="V211" s="180">
        <v>4800</v>
      </c>
      <c r="W211" s="160"/>
      <c r="X211" s="160"/>
      <c r="Y211" s="180">
        <v>6250</v>
      </c>
      <c r="Z211" s="283">
        <f t="shared" si="21"/>
        <v>0.30208333333333331</v>
      </c>
      <c r="AA211" s="101">
        <f t="shared" si="22"/>
        <v>1450</v>
      </c>
      <c r="AB211" s="180"/>
    </row>
    <row r="212" spans="1:28">
      <c r="A212" s="161" t="s">
        <v>1497</v>
      </c>
      <c r="B212" s="161"/>
      <c r="C212" s="160" t="s">
        <v>385</v>
      </c>
      <c r="D212" s="160"/>
      <c r="E212" s="253"/>
      <c r="F212" s="165"/>
      <c r="G212" s="253"/>
      <c r="H212" s="165"/>
      <c r="I212" s="178"/>
      <c r="J212" s="180"/>
      <c r="K212" s="178"/>
      <c r="L212" s="180"/>
      <c r="M212" s="178"/>
      <c r="N212" s="178"/>
      <c r="O212" s="180"/>
      <c r="P212" s="178"/>
      <c r="Q212" s="180"/>
      <c r="R212" s="178">
        <v>0</v>
      </c>
      <c r="S212" s="180"/>
      <c r="T212" s="180">
        <v>264</v>
      </c>
      <c r="U212" s="180"/>
      <c r="V212" s="180">
        <v>0</v>
      </c>
      <c r="W212" s="160"/>
      <c r="X212" s="160"/>
      <c r="Y212" s="180">
        <v>0</v>
      </c>
      <c r="Z212" s="283"/>
      <c r="AA212" s="101"/>
      <c r="AB212" s="180"/>
    </row>
    <row r="213" spans="1:28">
      <c r="A213" s="161" t="s">
        <v>1296</v>
      </c>
      <c r="B213" s="161"/>
      <c r="C213" s="160" t="s">
        <v>606</v>
      </c>
      <c r="D213" s="160"/>
      <c r="E213" s="165"/>
      <c r="F213" s="165">
        <v>26412</v>
      </c>
      <c r="G213" s="165"/>
      <c r="H213" s="165">
        <v>0</v>
      </c>
      <c r="I213" s="178">
        <v>0</v>
      </c>
      <c r="J213" s="180">
        <v>0</v>
      </c>
      <c r="K213" s="178">
        <v>0</v>
      </c>
      <c r="L213" s="180">
        <v>0</v>
      </c>
      <c r="M213" s="178">
        <v>0</v>
      </c>
      <c r="N213" s="178">
        <v>2795.62</v>
      </c>
      <c r="O213" s="180"/>
      <c r="P213" s="178">
        <v>490.75</v>
      </c>
      <c r="Q213" s="180"/>
      <c r="R213" s="178">
        <v>-0.17</v>
      </c>
      <c r="S213" s="180"/>
      <c r="T213" s="180">
        <v>6708.7</v>
      </c>
      <c r="U213" s="180"/>
      <c r="V213" s="180">
        <v>6708.7</v>
      </c>
      <c r="W213" s="160"/>
      <c r="X213" s="180"/>
      <c r="Y213" s="180">
        <v>0</v>
      </c>
      <c r="Z213" s="283">
        <f t="shared" si="21"/>
        <v>-1</v>
      </c>
      <c r="AA213" s="101">
        <f t="shared" si="22"/>
        <v>-6708.7</v>
      </c>
      <c r="AB213" s="180"/>
    </row>
    <row r="214" spans="1:28">
      <c r="A214" s="161" t="s">
        <v>864</v>
      </c>
      <c r="B214" s="161"/>
      <c r="C214" s="160" t="s">
        <v>804</v>
      </c>
      <c r="D214" s="160"/>
      <c r="E214" s="165"/>
      <c r="F214" s="165">
        <v>26412</v>
      </c>
      <c r="G214" s="165"/>
      <c r="H214" s="165">
        <v>0</v>
      </c>
      <c r="I214" s="178">
        <v>0</v>
      </c>
      <c r="J214" s="180">
        <v>0</v>
      </c>
      <c r="K214" s="178">
        <v>0</v>
      </c>
      <c r="L214" s="180">
        <v>0</v>
      </c>
      <c r="M214" s="178">
        <v>0</v>
      </c>
      <c r="N214" s="178">
        <v>686.54</v>
      </c>
      <c r="O214" s="180"/>
      <c r="P214" s="178">
        <v>3024.24</v>
      </c>
      <c r="Q214" s="180"/>
      <c r="R214" s="178">
        <v>2695</v>
      </c>
      <c r="S214" s="180"/>
      <c r="T214" s="180">
        <v>1000</v>
      </c>
      <c r="U214" s="180"/>
      <c r="V214" s="180">
        <v>1000</v>
      </c>
      <c r="W214" s="160"/>
      <c r="X214" s="160"/>
      <c r="Y214" s="180">
        <v>1000</v>
      </c>
      <c r="Z214" s="283">
        <f t="shared" si="21"/>
        <v>0</v>
      </c>
      <c r="AA214" s="101">
        <f t="shared" si="22"/>
        <v>0</v>
      </c>
      <c r="AB214" s="180"/>
    </row>
    <row r="215" spans="1:28">
      <c r="A215" s="161" t="s">
        <v>865</v>
      </c>
      <c r="B215" s="161"/>
      <c r="C215" s="160" t="s">
        <v>805</v>
      </c>
      <c r="D215" s="160"/>
      <c r="E215" s="165"/>
      <c r="F215" s="165">
        <v>10000</v>
      </c>
      <c r="G215" s="165"/>
      <c r="H215" s="165">
        <v>0</v>
      </c>
      <c r="I215" s="178">
        <v>0</v>
      </c>
      <c r="J215" s="180">
        <v>0</v>
      </c>
      <c r="K215" s="178">
        <v>0</v>
      </c>
      <c r="L215" s="180">
        <v>0</v>
      </c>
      <c r="M215" s="178">
        <v>0</v>
      </c>
      <c r="N215" s="178">
        <v>991.14</v>
      </c>
      <c r="O215" s="180"/>
      <c r="P215" s="178">
        <v>2448.5300000000002</v>
      </c>
      <c r="Q215" s="180"/>
      <c r="R215" s="178">
        <v>1286.0999999999999</v>
      </c>
      <c r="S215" s="180"/>
      <c r="T215" s="180">
        <v>500</v>
      </c>
      <c r="U215" s="180"/>
      <c r="V215" s="180">
        <v>500</v>
      </c>
      <c r="W215" s="160"/>
      <c r="X215" s="160"/>
      <c r="Y215" s="180">
        <v>500</v>
      </c>
      <c r="Z215" s="283">
        <f t="shared" si="21"/>
        <v>0</v>
      </c>
      <c r="AA215" s="101">
        <f t="shared" si="22"/>
        <v>0</v>
      </c>
      <c r="AB215" s="180"/>
    </row>
    <row r="216" spans="1:28" hidden="1">
      <c r="A216" s="161" t="s">
        <v>866</v>
      </c>
      <c r="B216" s="161"/>
      <c r="C216" s="160" t="s">
        <v>806</v>
      </c>
      <c r="D216" s="160"/>
      <c r="E216" s="165"/>
      <c r="F216" s="165">
        <v>11627</v>
      </c>
      <c r="G216" s="165"/>
      <c r="H216" s="165">
        <v>0</v>
      </c>
      <c r="I216" s="178">
        <v>0</v>
      </c>
      <c r="J216" s="180">
        <v>0</v>
      </c>
      <c r="K216" s="178">
        <v>0</v>
      </c>
      <c r="L216" s="180">
        <v>0</v>
      </c>
      <c r="M216" s="178">
        <v>417.5</v>
      </c>
      <c r="N216" s="178">
        <v>49.65</v>
      </c>
      <c r="O216" s="180"/>
      <c r="P216" s="178">
        <v>0</v>
      </c>
      <c r="Q216" s="180"/>
      <c r="R216" s="178"/>
      <c r="S216" s="180"/>
      <c r="T216" s="180"/>
      <c r="U216" s="180"/>
      <c r="V216" s="180"/>
      <c r="W216" s="160"/>
      <c r="X216" s="160"/>
      <c r="Y216" s="180"/>
      <c r="Z216" s="283" t="e">
        <f t="shared" si="21"/>
        <v>#DIV/0!</v>
      </c>
      <c r="AA216" s="101">
        <f t="shared" si="22"/>
        <v>0</v>
      </c>
      <c r="AB216" s="180"/>
    </row>
    <row r="217" spans="1:28">
      <c r="A217" s="161" t="s">
        <v>867</v>
      </c>
      <c r="B217" s="161"/>
      <c r="C217" s="160" t="s">
        <v>807</v>
      </c>
      <c r="D217" s="160"/>
      <c r="E217" s="165"/>
      <c r="F217" s="165">
        <v>2066</v>
      </c>
      <c r="G217" s="165"/>
      <c r="H217" s="165">
        <v>0</v>
      </c>
      <c r="I217" s="178">
        <v>0</v>
      </c>
      <c r="J217" s="180">
        <v>0</v>
      </c>
      <c r="K217" s="178">
        <v>0</v>
      </c>
      <c r="L217" s="180">
        <v>0</v>
      </c>
      <c r="M217" s="178">
        <v>0</v>
      </c>
      <c r="N217" s="178">
        <v>0</v>
      </c>
      <c r="O217" s="180"/>
      <c r="P217" s="178">
        <v>935.48</v>
      </c>
      <c r="Q217" s="180"/>
      <c r="R217" s="178">
        <v>3913.99</v>
      </c>
      <c r="S217" s="180"/>
      <c r="T217" s="180">
        <v>0</v>
      </c>
      <c r="U217" s="180"/>
      <c r="V217" s="180">
        <v>0</v>
      </c>
      <c r="W217" s="160"/>
      <c r="X217" s="160"/>
      <c r="Y217" s="180">
        <v>1064</v>
      </c>
      <c r="Z217" s="283" t="e">
        <f t="shared" si="21"/>
        <v>#DIV/0!</v>
      </c>
      <c r="AA217" s="101">
        <f t="shared" si="22"/>
        <v>1064</v>
      </c>
      <c r="AB217" s="180"/>
    </row>
    <row r="218" spans="1:28" hidden="1">
      <c r="A218" s="161" t="s">
        <v>868</v>
      </c>
      <c r="B218" s="161"/>
      <c r="C218" s="160" t="s">
        <v>462</v>
      </c>
      <c r="D218" s="160"/>
      <c r="E218" s="165"/>
      <c r="F218" s="165">
        <v>4305</v>
      </c>
      <c r="G218" s="165"/>
      <c r="H218" s="165">
        <v>0</v>
      </c>
      <c r="I218" s="178">
        <v>0</v>
      </c>
      <c r="J218" s="180">
        <v>0</v>
      </c>
      <c r="K218" s="178">
        <v>0</v>
      </c>
      <c r="L218" s="180">
        <v>0</v>
      </c>
      <c r="M218" s="178">
        <v>0</v>
      </c>
      <c r="N218" s="178"/>
      <c r="O218" s="180"/>
      <c r="P218" s="178">
        <v>0</v>
      </c>
      <c r="Q218" s="180"/>
      <c r="R218" s="178">
        <v>0</v>
      </c>
      <c r="S218" s="180"/>
      <c r="T218" s="180">
        <v>0</v>
      </c>
      <c r="U218" s="180">
        <v>0</v>
      </c>
      <c r="V218" s="180">
        <f>V142</f>
        <v>0</v>
      </c>
      <c r="W218" s="160"/>
      <c r="X218" s="160"/>
      <c r="Y218" s="180">
        <f>Y142</f>
        <v>0</v>
      </c>
      <c r="Z218" s="283">
        <v>0</v>
      </c>
      <c r="AA218" s="101">
        <f t="shared" si="22"/>
        <v>0</v>
      </c>
    </row>
    <row r="219" spans="1:28" ht="16.5">
      <c r="A219" s="160"/>
      <c r="B219" s="160"/>
      <c r="C219" s="407" t="s">
        <v>1363</v>
      </c>
      <c r="D219" s="177"/>
      <c r="E219" s="332"/>
      <c r="F219" s="287">
        <f>SUM(F202:F218)</f>
        <v>207651</v>
      </c>
      <c r="G219" s="332"/>
      <c r="H219" s="287">
        <f t="shared" ref="H219:S219" si="23">SUM(H202:H218)</f>
        <v>0</v>
      </c>
      <c r="I219" s="287">
        <f t="shared" si="23"/>
        <v>0</v>
      </c>
      <c r="J219" s="285">
        <f t="shared" si="23"/>
        <v>0</v>
      </c>
      <c r="K219" s="287">
        <f t="shared" si="23"/>
        <v>0</v>
      </c>
      <c r="L219" s="285">
        <f t="shared" si="23"/>
        <v>0</v>
      </c>
      <c r="M219" s="287">
        <f t="shared" si="23"/>
        <v>2149.0500000000002</v>
      </c>
      <c r="N219" s="287">
        <f t="shared" si="23"/>
        <v>12538.37</v>
      </c>
      <c r="O219" s="285">
        <f t="shared" si="23"/>
        <v>0</v>
      </c>
      <c r="P219" s="287">
        <f t="shared" si="23"/>
        <v>13095.31</v>
      </c>
      <c r="Q219" s="285">
        <f t="shared" si="23"/>
        <v>0</v>
      </c>
      <c r="R219" s="242">
        <f t="shared" si="23"/>
        <v>24682.1</v>
      </c>
      <c r="S219" s="333">
        <f t="shared" si="23"/>
        <v>0</v>
      </c>
      <c r="T219" s="333">
        <f>SUM(T202:T217)</f>
        <v>39758.699999999997</v>
      </c>
      <c r="U219" s="333">
        <f>SUM(U202:U218)</f>
        <v>0</v>
      </c>
      <c r="V219" s="333">
        <f>SUM(V202:V218)</f>
        <v>37929.699999999997</v>
      </c>
      <c r="W219" s="334"/>
      <c r="X219" s="334"/>
      <c r="Y219" s="333">
        <f>SUM(Y202:Y218)</f>
        <v>32738</v>
      </c>
      <c r="Z219" s="291">
        <f>(Y219-T219)/T219</f>
        <v>-0.17658273535100488</v>
      </c>
      <c r="AA219" s="104">
        <f>SUM(AA202:AA218)</f>
        <v>-6756.7</v>
      </c>
    </row>
    <row r="220" spans="1:28" ht="15.75" customHeight="1">
      <c r="C220" s="41"/>
      <c r="E220" s="107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  <c r="W220" s="108"/>
      <c r="X220" s="108"/>
      <c r="Y220" s="108"/>
      <c r="Z220" s="115"/>
    </row>
    <row r="221" spans="1:28" ht="15.75" customHeight="1">
      <c r="A221" s="161"/>
      <c r="B221" s="161"/>
      <c r="C221" s="265" t="s">
        <v>1346</v>
      </c>
      <c r="D221" s="161"/>
      <c r="E221" s="162"/>
      <c r="F221" s="162"/>
      <c r="G221" s="163"/>
      <c r="H221" s="163"/>
      <c r="I221" s="165"/>
      <c r="J221" s="167"/>
      <c r="K221" s="165"/>
      <c r="L221" s="167"/>
      <c r="M221" s="165"/>
      <c r="N221" s="165"/>
      <c r="O221" s="167"/>
      <c r="P221" s="165"/>
      <c r="Q221" s="167"/>
      <c r="R221" s="165"/>
      <c r="S221" s="167"/>
      <c r="T221" s="311"/>
      <c r="U221" s="165"/>
      <c r="V221" s="165"/>
      <c r="W221" s="167"/>
      <c r="X221" s="167"/>
      <c r="Y221" s="311"/>
      <c r="Z221" s="283"/>
    </row>
    <row r="222" spans="1:28" ht="15.75" customHeight="1">
      <c r="A222" s="161" t="s">
        <v>136</v>
      </c>
      <c r="B222" s="161"/>
      <c r="C222" s="161" t="s">
        <v>368</v>
      </c>
      <c r="D222" s="161"/>
      <c r="E222" s="162"/>
      <c r="F222" s="162"/>
      <c r="G222" s="163"/>
      <c r="H222" s="163"/>
      <c r="I222" s="165">
        <v>6000</v>
      </c>
      <c r="J222" s="167"/>
      <c r="K222" s="165">
        <v>6500</v>
      </c>
      <c r="L222" s="167"/>
      <c r="M222" s="165">
        <v>6750</v>
      </c>
      <c r="N222" s="165">
        <v>7500</v>
      </c>
      <c r="O222" s="167"/>
      <c r="P222" s="165">
        <v>7750</v>
      </c>
      <c r="Q222" s="167"/>
      <c r="R222" s="165">
        <v>10500</v>
      </c>
      <c r="S222" s="167"/>
      <c r="T222" s="282">
        <v>11000</v>
      </c>
      <c r="U222" s="282"/>
      <c r="V222" s="282">
        <v>11000</v>
      </c>
      <c r="W222" s="167"/>
      <c r="X222" s="167"/>
      <c r="Y222" s="282">
        <v>11375</v>
      </c>
      <c r="Z222" s="283">
        <f t="shared" ref="Z222:Z240" si="24">(Y222-T222)/T222</f>
        <v>3.4090909090909088E-2</v>
      </c>
      <c r="AA222" s="101">
        <f>Y222-T222</f>
        <v>375</v>
      </c>
    </row>
    <row r="223" spans="1:28" ht="15.75" customHeight="1">
      <c r="A223" s="161" t="s">
        <v>719</v>
      </c>
      <c r="B223" s="161"/>
      <c r="C223" s="161" t="s">
        <v>718</v>
      </c>
      <c r="D223" s="161"/>
      <c r="E223" s="162"/>
      <c r="F223" s="162"/>
      <c r="G223" s="163"/>
      <c r="H223" s="163"/>
      <c r="I223" s="165">
        <v>64.03</v>
      </c>
      <c r="J223" s="167"/>
      <c r="K223" s="165">
        <v>0</v>
      </c>
      <c r="L223" s="167"/>
      <c r="M223" s="165">
        <v>0</v>
      </c>
      <c r="N223" s="165">
        <v>4328.53</v>
      </c>
      <c r="O223" s="167"/>
      <c r="P223" s="165">
        <v>3282</v>
      </c>
      <c r="Q223" s="167"/>
      <c r="R223" s="165">
        <v>15649.15</v>
      </c>
      <c r="S223" s="167"/>
      <c r="T223" s="282">
        <v>17000</v>
      </c>
      <c r="U223" s="282"/>
      <c r="V223" s="282">
        <v>20000</v>
      </c>
      <c r="W223" s="167"/>
      <c r="X223" s="167"/>
      <c r="Y223" s="282">
        <v>20000</v>
      </c>
      <c r="Z223" s="283">
        <f t="shared" si="24"/>
        <v>0.17647058823529413</v>
      </c>
      <c r="AA223" s="101">
        <f t="shared" ref="AA223:AA240" si="25">Y223-T223</f>
        <v>3000</v>
      </c>
    </row>
    <row r="224" spans="1:28" ht="15.75" customHeight="1">
      <c r="A224" s="161" t="s">
        <v>307</v>
      </c>
      <c r="B224" s="161"/>
      <c r="C224" s="161" t="s">
        <v>463</v>
      </c>
      <c r="D224" s="161"/>
      <c r="E224" s="162"/>
      <c r="F224" s="162"/>
      <c r="G224" s="163"/>
      <c r="H224" s="163"/>
      <c r="I224" s="165">
        <v>5303.52</v>
      </c>
      <c r="J224" s="168"/>
      <c r="K224" s="165">
        <v>5314.82</v>
      </c>
      <c r="L224" s="168"/>
      <c r="M224" s="165">
        <v>6093.46</v>
      </c>
      <c r="N224" s="165">
        <v>9127.98</v>
      </c>
      <c r="O224" s="168"/>
      <c r="P224" s="165">
        <v>8893.73</v>
      </c>
      <c r="Q224" s="168"/>
      <c r="R224" s="165">
        <v>11681.42</v>
      </c>
      <c r="S224" s="168"/>
      <c r="T224" s="282">
        <v>11000</v>
      </c>
      <c r="U224" s="282"/>
      <c r="V224" s="282">
        <v>11000</v>
      </c>
      <c r="W224" s="168"/>
      <c r="X224" s="168"/>
      <c r="Y224" s="282">
        <v>11000</v>
      </c>
      <c r="Z224" s="283">
        <f t="shared" si="24"/>
        <v>0</v>
      </c>
      <c r="AA224" s="101">
        <f t="shared" si="25"/>
        <v>0</v>
      </c>
    </row>
    <row r="225" spans="1:27" ht="15.75" customHeight="1">
      <c r="A225" s="161" t="s">
        <v>308</v>
      </c>
      <c r="B225" s="161"/>
      <c r="C225" s="161" t="s">
        <v>384</v>
      </c>
      <c r="D225" s="161"/>
      <c r="E225" s="162"/>
      <c r="F225" s="162"/>
      <c r="G225" s="163"/>
      <c r="H225" s="163"/>
      <c r="I225" s="165">
        <v>29197.24</v>
      </c>
      <c r="J225" s="167"/>
      <c r="K225" s="165">
        <v>35782.639999999999</v>
      </c>
      <c r="L225" s="167"/>
      <c r="M225" s="165">
        <v>45320.52</v>
      </c>
      <c r="N225" s="165">
        <v>97282.84</v>
      </c>
      <c r="O225" s="167"/>
      <c r="P225" s="165">
        <v>119051.58</v>
      </c>
      <c r="Q225" s="167"/>
      <c r="R225" s="165">
        <v>82509.31</v>
      </c>
      <c r="S225" s="167"/>
      <c r="T225" s="282">
        <v>88000</v>
      </c>
      <c r="U225" s="282"/>
      <c r="V225" s="282">
        <v>88000</v>
      </c>
      <c r="W225" s="167"/>
      <c r="X225" s="167"/>
      <c r="Y225" s="282">
        <v>88000</v>
      </c>
      <c r="Z225" s="283">
        <f t="shared" si="24"/>
        <v>0</v>
      </c>
      <c r="AA225" s="101">
        <f t="shared" si="25"/>
        <v>0</v>
      </c>
    </row>
    <row r="226" spans="1:27" ht="15.75" customHeight="1">
      <c r="A226" s="161" t="s">
        <v>309</v>
      </c>
      <c r="B226" s="161"/>
      <c r="C226" s="161" t="s">
        <v>385</v>
      </c>
      <c r="D226" s="161"/>
      <c r="E226" s="162"/>
      <c r="F226" s="162"/>
      <c r="G226" s="163"/>
      <c r="H226" s="163"/>
      <c r="I226" s="165">
        <v>4021.47</v>
      </c>
      <c r="J226" s="311"/>
      <c r="K226" s="165">
        <v>4292.72</v>
      </c>
      <c r="L226" s="311"/>
      <c r="M226" s="165">
        <v>4346.46</v>
      </c>
      <c r="N226" s="165">
        <v>4153.55</v>
      </c>
      <c r="O226" s="311"/>
      <c r="P226" s="165">
        <v>876.87</v>
      </c>
      <c r="Q226" s="311"/>
      <c r="R226" s="165">
        <v>3259.08</v>
      </c>
      <c r="S226" s="311"/>
      <c r="T226" s="282">
        <v>3500</v>
      </c>
      <c r="U226" s="282"/>
      <c r="V226" s="282">
        <v>4350</v>
      </c>
      <c r="W226" s="311"/>
      <c r="X226" s="311"/>
      <c r="Y226" s="282">
        <v>4800</v>
      </c>
      <c r="Z226" s="283">
        <f t="shared" si="24"/>
        <v>0.37142857142857144</v>
      </c>
      <c r="AA226" s="101">
        <f t="shared" si="25"/>
        <v>1300</v>
      </c>
    </row>
    <row r="227" spans="1:27" ht="15.75" customHeight="1">
      <c r="A227" s="161" t="s">
        <v>910</v>
      </c>
      <c r="B227" s="161"/>
      <c r="C227" s="161" t="s">
        <v>911</v>
      </c>
      <c r="D227" s="161"/>
      <c r="E227" s="162"/>
      <c r="F227" s="162"/>
      <c r="G227" s="163"/>
      <c r="H227" s="163"/>
      <c r="I227" s="165">
        <v>4021.47</v>
      </c>
      <c r="J227" s="311"/>
      <c r="K227" s="165">
        <v>0</v>
      </c>
      <c r="L227" s="311"/>
      <c r="M227" s="165">
        <v>2810.32</v>
      </c>
      <c r="N227" s="165">
        <v>2983.05</v>
      </c>
      <c r="O227" s="311"/>
      <c r="P227" s="165">
        <v>3158.96</v>
      </c>
      <c r="Q227" s="311"/>
      <c r="R227" s="165">
        <v>3773.14</v>
      </c>
      <c r="S227" s="311"/>
      <c r="T227" s="282">
        <v>5650</v>
      </c>
      <c r="U227" s="282"/>
      <c r="V227" s="282">
        <v>4000</v>
      </c>
      <c r="W227" s="311"/>
      <c r="X227" s="311"/>
      <c r="Y227" s="282">
        <v>4000</v>
      </c>
      <c r="Z227" s="283">
        <f t="shared" si="24"/>
        <v>-0.29203539823008851</v>
      </c>
      <c r="AA227" s="101">
        <f t="shared" si="25"/>
        <v>-1650</v>
      </c>
    </row>
    <row r="228" spans="1:27" ht="15.75" customHeight="1">
      <c r="A228" s="161" t="s">
        <v>1232</v>
      </c>
      <c r="B228" s="161"/>
      <c r="C228" s="161" t="s">
        <v>1233</v>
      </c>
      <c r="D228" s="161"/>
      <c r="E228" s="162"/>
      <c r="F228" s="162"/>
      <c r="G228" s="163"/>
      <c r="H228" s="163"/>
      <c r="I228" s="165">
        <v>4021.47</v>
      </c>
      <c r="J228" s="311"/>
      <c r="K228" s="165">
        <v>0</v>
      </c>
      <c r="L228" s="311"/>
      <c r="M228" s="165">
        <v>2810.32</v>
      </c>
      <c r="N228" s="165">
        <v>2983.05</v>
      </c>
      <c r="O228" s="311"/>
      <c r="P228" s="165">
        <v>3158.96</v>
      </c>
      <c r="Q228" s="311"/>
      <c r="R228" s="165">
        <v>5371.32</v>
      </c>
      <c r="S228" s="311"/>
      <c r="T228" s="282">
        <v>5500</v>
      </c>
      <c r="U228" s="282"/>
      <c r="V228" s="282">
        <v>5500</v>
      </c>
      <c r="W228" s="311"/>
      <c r="X228" s="311"/>
      <c r="Y228" s="282">
        <v>5500</v>
      </c>
      <c r="Z228" s="283">
        <f t="shared" si="24"/>
        <v>0</v>
      </c>
      <c r="AA228" s="101">
        <f>Y228-T228</f>
        <v>0</v>
      </c>
    </row>
    <row r="229" spans="1:27" ht="15.75" customHeight="1">
      <c r="A229" s="161" t="s">
        <v>311</v>
      </c>
      <c r="B229" s="161"/>
      <c r="C229" s="161" t="s">
        <v>386</v>
      </c>
      <c r="D229" s="161"/>
      <c r="E229" s="162"/>
      <c r="F229" s="162"/>
      <c r="G229" s="163"/>
      <c r="H229" s="163"/>
      <c r="I229" s="165">
        <v>617.41999999999996</v>
      </c>
      <c r="J229" s="311"/>
      <c r="K229" s="165">
        <v>642.98</v>
      </c>
      <c r="L229" s="311"/>
      <c r="M229" s="165">
        <v>739</v>
      </c>
      <c r="N229" s="165">
        <v>107.5</v>
      </c>
      <c r="O229" s="311"/>
      <c r="P229" s="165">
        <v>1935.79</v>
      </c>
      <c r="Q229" s="311"/>
      <c r="R229" s="165">
        <v>1825.46</v>
      </c>
      <c r="S229" s="311"/>
      <c r="T229" s="282">
        <v>3000</v>
      </c>
      <c r="U229" s="282"/>
      <c r="V229" s="282">
        <v>2500</v>
      </c>
      <c r="W229" s="311"/>
      <c r="X229" s="311"/>
      <c r="Y229" s="282">
        <v>2500</v>
      </c>
      <c r="Z229" s="283">
        <f t="shared" si="24"/>
        <v>-0.16666666666666666</v>
      </c>
      <c r="AA229" s="101">
        <f t="shared" si="25"/>
        <v>-500</v>
      </c>
    </row>
    <row r="230" spans="1:27" ht="15.75" customHeight="1">
      <c r="A230" s="161" t="s">
        <v>312</v>
      </c>
      <c r="B230" s="161"/>
      <c r="C230" s="161" t="s">
        <v>73</v>
      </c>
      <c r="D230" s="161"/>
      <c r="E230" s="162"/>
      <c r="F230" s="162"/>
      <c r="G230" s="163"/>
      <c r="H230" s="163"/>
      <c r="I230" s="165">
        <v>48.33</v>
      </c>
      <c r="J230" s="167"/>
      <c r="K230" s="165">
        <v>364.89</v>
      </c>
      <c r="L230" s="167"/>
      <c r="M230" s="165">
        <v>578.15</v>
      </c>
      <c r="N230" s="165">
        <v>458.67</v>
      </c>
      <c r="O230" s="167"/>
      <c r="P230" s="165">
        <v>341.71</v>
      </c>
      <c r="Q230" s="167"/>
      <c r="R230" s="165">
        <v>188.49</v>
      </c>
      <c r="S230" s="167"/>
      <c r="T230" s="282">
        <v>200</v>
      </c>
      <c r="U230" s="282"/>
      <c r="V230" s="282">
        <v>200</v>
      </c>
      <c r="W230" s="167"/>
      <c r="X230" s="167"/>
      <c r="Y230" s="282">
        <v>200</v>
      </c>
      <c r="Z230" s="283">
        <f t="shared" si="24"/>
        <v>0</v>
      </c>
      <c r="AA230" s="101">
        <f t="shared" si="25"/>
        <v>0</v>
      </c>
    </row>
    <row r="231" spans="1:27" ht="15.75" customHeight="1">
      <c r="A231" s="161" t="s">
        <v>698</v>
      </c>
      <c r="B231" s="161"/>
      <c r="C231" s="161" t="s">
        <v>696</v>
      </c>
      <c r="D231" s="161"/>
      <c r="E231" s="162"/>
      <c r="F231" s="162"/>
      <c r="G231" s="163"/>
      <c r="H231" s="163"/>
      <c r="I231" s="165">
        <v>823.5</v>
      </c>
      <c r="J231" s="167"/>
      <c r="K231" s="165">
        <v>1043</v>
      </c>
      <c r="L231" s="167"/>
      <c r="M231" s="165">
        <v>1095</v>
      </c>
      <c r="N231" s="165">
        <v>1286</v>
      </c>
      <c r="O231" s="167"/>
      <c r="P231" s="165">
        <v>3586</v>
      </c>
      <c r="Q231" s="167"/>
      <c r="R231" s="165">
        <v>2693.5</v>
      </c>
      <c r="S231" s="167"/>
      <c r="T231" s="282">
        <v>2700</v>
      </c>
      <c r="U231" s="282"/>
      <c r="V231" s="282">
        <v>2711</v>
      </c>
      <c r="W231" s="167"/>
      <c r="X231" s="167"/>
      <c r="Y231" s="282">
        <v>2750</v>
      </c>
      <c r="Z231" s="283">
        <f t="shared" si="24"/>
        <v>1.8518518518518517E-2</v>
      </c>
      <c r="AA231" s="101">
        <f t="shared" si="25"/>
        <v>50</v>
      </c>
    </row>
    <row r="232" spans="1:27" ht="15.75" customHeight="1">
      <c r="A232" s="161" t="s">
        <v>313</v>
      </c>
      <c r="B232" s="161"/>
      <c r="C232" s="161" t="s">
        <v>389</v>
      </c>
      <c r="D232" s="161"/>
      <c r="E232" s="162"/>
      <c r="F232" s="162"/>
      <c r="G232" s="163"/>
      <c r="H232" s="163"/>
      <c r="I232" s="165">
        <v>2265.7199999999998</v>
      </c>
      <c r="J232" s="167"/>
      <c r="K232" s="165">
        <v>2286.9</v>
      </c>
      <c r="L232" s="167"/>
      <c r="M232" s="165">
        <v>1870.64</v>
      </c>
      <c r="N232" s="165">
        <v>3376.58</v>
      </c>
      <c r="O232" s="167"/>
      <c r="P232" s="165">
        <v>5899.81</v>
      </c>
      <c r="Q232" s="167"/>
      <c r="R232" s="165">
        <v>6818.3</v>
      </c>
      <c r="S232" s="167"/>
      <c r="T232" s="282">
        <v>7000</v>
      </c>
      <c r="U232" s="282"/>
      <c r="V232" s="282">
        <v>6753.73</v>
      </c>
      <c r="W232" s="167"/>
      <c r="X232" s="167"/>
      <c r="Y232" s="282">
        <v>7000</v>
      </c>
      <c r="Z232" s="283">
        <f t="shared" si="24"/>
        <v>0</v>
      </c>
      <c r="AA232" s="101">
        <f t="shared" si="25"/>
        <v>0</v>
      </c>
    </row>
    <row r="233" spans="1:27" ht="15.75" customHeight="1">
      <c r="A233" s="161" t="s">
        <v>1229</v>
      </c>
      <c r="B233" s="161"/>
      <c r="C233" s="161" t="s">
        <v>1224</v>
      </c>
      <c r="D233" s="161"/>
      <c r="E233" s="162"/>
      <c r="F233" s="162"/>
      <c r="G233" s="163"/>
      <c r="H233" s="163"/>
      <c r="I233" s="165">
        <v>386</v>
      </c>
      <c r="J233" s="167"/>
      <c r="K233" s="165">
        <v>1399</v>
      </c>
      <c r="L233" s="167"/>
      <c r="M233" s="165">
        <v>0</v>
      </c>
      <c r="N233" s="165"/>
      <c r="O233" s="167"/>
      <c r="P233" s="165">
        <v>1625</v>
      </c>
      <c r="Q233" s="167"/>
      <c r="R233" s="165">
        <v>15356.19</v>
      </c>
      <c r="S233" s="167"/>
      <c r="T233" s="282">
        <v>16000</v>
      </c>
      <c r="U233" s="282"/>
      <c r="V233" s="282">
        <v>19000</v>
      </c>
      <c r="W233" s="167"/>
      <c r="X233" s="167"/>
      <c r="Y233" s="282">
        <v>19000</v>
      </c>
      <c r="Z233" s="283">
        <f t="shared" si="24"/>
        <v>0.1875</v>
      </c>
      <c r="AA233" s="101">
        <f t="shared" si="25"/>
        <v>3000</v>
      </c>
    </row>
    <row r="234" spans="1:27" ht="15.75" customHeight="1">
      <c r="A234" s="161" t="s">
        <v>1325</v>
      </c>
      <c r="B234" s="161"/>
      <c r="C234" s="161" t="s">
        <v>367</v>
      </c>
      <c r="D234" s="161"/>
      <c r="E234" s="162"/>
      <c r="F234" s="162"/>
      <c r="G234" s="163"/>
      <c r="H234" s="163"/>
      <c r="I234" s="165"/>
      <c r="J234" s="167"/>
      <c r="K234" s="165"/>
      <c r="L234" s="167"/>
      <c r="M234" s="165"/>
      <c r="N234" s="165"/>
      <c r="O234" s="167"/>
      <c r="P234" s="165"/>
      <c r="Q234" s="167"/>
      <c r="R234" s="165">
        <v>1366.35</v>
      </c>
      <c r="S234" s="167"/>
      <c r="T234" s="282">
        <v>2000</v>
      </c>
      <c r="U234" s="282"/>
      <c r="V234" s="282">
        <v>0</v>
      </c>
      <c r="W234" s="167"/>
      <c r="X234" s="167"/>
      <c r="Y234" s="282">
        <v>2000</v>
      </c>
      <c r="Z234" s="283">
        <v>0</v>
      </c>
      <c r="AA234" s="101">
        <f t="shared" si="25"/>
        <v>0</v>
      </c>
    </row>
    <row r="235" spans="1:27" ht="15.75" customHeight="1">
      <c r="A235" s="161" t="s">
        <v>1230</v>
      </c>
      <c r="B235" s="161"/>
      <c r="C235" s="161" t="s">
        <v>697</v>
      </c>
      <c r="D235" s="161"/>
      <c r="E235" s="162"/>
      <c r="F235" s="162"/>
      <c r="G235" s="163"/>
      <c r="H235" s="163"/>
      <c r="I235" s="165">
        <v>386</v>
      </c>
      <c r="J235" s="167"/>
      <c r="K235" s="165">
        <v>1399</v>
      </c>
      <c r="L235" s="167"/>
      <c r="M235" s="165">
        <v>0</v>
      </c>
      <c r="N235" s="165"/>
      <c r="O235" s="167"/>
      <c r="P235" s="165">
        <v>1625</v>
      </c>
      <c r="Q235" s="167"/>
      <c r="R235" s="165">
        <v>500</v>
      </c>
      <c r="S235" s="167"/>
      <c r="T235" s="282">
        <v>500</v>
      </c>
      <c r="U235" s="282"/>
      <c r="V235" s="282">
        <v>2125</v>
      </c>
      <c r="W235" s="167"/>
      <c r="X235" s="167"/>
      <c r="Y235" s="282">
        <v>500</v>
      </c>
      <c r="Z235" s="283">
        <f t="shared" si="24"/>
        <v>0</v>
      </c>
      <c r="AA235" s="101">
        <f>Y235-T235</f>
        <v>0</v>
      </c>
    </row>
    <row r="236" spans="1:27" ht="15.75" customHeight="1">
      <c r="A236" s="161" t="s">
        <v>314</v>
      </c>
      <c r="B236" s="161"/>
      <c r="C236" s="161" t="s">
        <v>462</v>
      </c>
      <c r="D236" s="161"/>
      <c r="E236" s="162"/>
      <c r="F236" s="162"/>
      <c r="G236" s="163"/>
      <c r="H236" s="163"/>
      <c r="I236" s="165">
        <v>270.61</v>
      </c>
      <c r="J236" s="167"/>
      <c r="K236" s="165">
        <v>48</v>
      </c>
      <c r="L236" s="167"/>
      <c r="M236" s="165">
        <v>0</v>
      </c>
      <c r="N236" s="165">
        <v>17.5</v>
      </c>
      <c r="O236" s="167"/>
      <c r="P236" s="165">
        <v>15.22</v>
      </c>
      <c r="Q236" s="167"/>
      <c r="R236" s="165">
        <v>134.84</v>
      </c>
      <c r="S236" s="167"/>
      <c r="T236" s="282">
        <v>1000</v>
      </c>
      <c r="U236" s="282"/>
      <c r="V236" s="282">
        <v>500</v>
      </c>
      <c r="W236" s="167"/>
      <c r="X236" s="167"/>
      <c r="Y236" s="282">
        <v>1000</v>
      </c>
      <c r="Z236" s="318">
        <f>(Y236-T236)/T236</f>
        <v>0</v>
      </c>
      <c r="AA236" s="101">
        <f t="shared" si="25"/>
        <v>0</v>
      </c>
    </row>
    <row r="237" spans="1:27" ht="15.75" customHeight="1">
      <c r="A237" s="161" t="s">
        <v>981</v>
      </c>
      <c r="B237" s="161"/>
      <c r="C237" s="161" t="s">
        <v>643</v>
      </c>
      <c r="D237" s="161"/>
      <c r="E237" s="162"/>
      <c r="F237" s="162"/>
      <c r="G237" s="163"/>
      <c r="H237" s="163"/>
      <c r="I237" s="165">
        <v>1900.87</v>
      </c>
      <c r="J237" s="168"/>
      <c r="K237" s="165">
        <v>-28.43</v>
      </c>
      <c r="L237" s="168"/>
      <c r="M237" s="165">
        <v>-73.62</v>
      </c>
      <c r="N237" s="165">
        <v>-21.97</v>
      </c>
      <c r="O237" s="168"/>
      <c r="P237" s="165">
        <v>2312.38</v>
      </c>
      <c r="Q237" s="168"/>
      <c r="R237" s="165">
        <v>2509.81</v>
      </c>
      <c r="S237" s="168"/>
      <c r="T237" s="282">
        <v>3063</v>
      </c>
      <c r="U237" s="282"/>
      <c r="V237" s="282">
        <v>3500</v>
      </c>
      <c r="W237" s="168"/>
      <c r="X237" s="168"/>
      <c r="Y237" s="282">
        <v>3500</v>
      </c>
      <c r="Z237" s="283">
        <f t="shared" si="24"/>
        <v>0.1426705843943846</v>
      </c>
      <c r="AA237" s="101">
        <f t="shared" si="25"/>
        <v>437</v>
      </c>
    </row>
    <row r="238" spans="1:27" ht="15.75" customHeight="1">
      <c r="A238" s="161" t="s">
        <v>323</v>
      </c>
      <c r="B238" s="161"/>
      <c r="C238" s="161" t="s">
        <v>797</v>
      </c>
      <c r="D238" s="161"/>
      <c r="E238" s="162"/>
      <c r="F238" s="162"/>
      <c r="G238" s="163"/>
      <c r="H238" s="163"/>
      <c r="I238" s="165">
        <v>18109.759999999998</v>
      </c>
      <c r="J238" s="311"/>
      <c r="K238" s="165">
        <v>6840.53</v>
      </c>
      <c r="L238" s="311"/>
      <c r="M238" s="165">
        <v>6093.46</v>
      </c>
      <c r="N238" s="165">
        <v>2554.23</v>
      </c>
      <c r="O238" s="311"/>
      <c r="P238" s="165">
        <v>5664.2</v>
      </c>
      <c r="Q238" s="311"/>
      <c r="R238" s="165">
        <v>9302.5400000000009</v>
      </c>
      <c r="S238" s="311"/>
      <c r="T238" s="282">
        <v>12125</v>
      </c>
      <c r="U238" s="282"/>
      <c r="V238" s="282">
        <v>7840</v>
      </c>
      <c r="W238" s="311"/>
      <c r="X238" s="311"/>
      <c r="Y238" s="282">
        <v>9000</v>
      </c>
      <c r="Z238" s="283">
        <f t="shared" si="24"/>
        <v>-0.25773195876288657</v>
      </c>
      <c r="AA238" s="101">
        <f t="shared" si="25"/>
        <v>-3125</v>
      </c>
    </row>
    <row r="239" spans="1:27" ht="15.75" hidden="1" customHeight="1">
      <c r="A239" s="161" t="s">
        <v>912</v>
      </c>
      <c r="B239" s="161"/>
      <c r="C239" s="161" t="s">
        <v>913</v>
      </c>
      <c r="D239" s="161"/>
      <c r="E239" s="162"/>
      <c r="F239" s="162"/>
      <c r="G239" s="163"/>
      <c r="H239" s="163"/>
      <c r="I239" s="165">
        <v>6395</v>
      </c>
      <c r="J239" s="311"/>
      <c r="K239" s="165">
        <v>400</v>
      </c>
      <c r="L239" s="311"/>
      <c r="M239" s="165"/>
      <c r="N239" s="165"/>
      <c r="O239" s="311"/>
      <c r="P239" s="165">
        <v>0</v>
      </c>
      <c r="Q239" s="311"/>
      <c r="R239" s="165"/>
      <c r="S239" s="311"/>
      <c r="T239" s="282"/>
      <c r="U239" s="282"/>
      <c r="V239" s="282"/>
      <c r="W239" s="311"/>
      <c r="X239" s="311"/>
      <c r="Y239" s="282"/>
      <c r="Z239" s="283" t="e">
        <f t="shared" si="24"/>
        <v>#DIV/0!</v>
      </c>
      <c r="AA239" s="101">
        <f t="shared" si="25"/>
        <v>0</v>
      </c>
    </row>
    <row r="240" spans="1:27" ht="15.75" customHeight="1">
      <c r="A240" s="161" t="s">
        <v>324</v>
      </c>
      <c r="B240" s="161"/>
      <c r="C240" s="161" t="s">
        <v>272</v>
      </c>
      <c r="D240" s="161"/>
      <c r="E240" s="162"/>
      <c r="F240" s="162"/>
      <c r="G240" s="163"/>
      <c r="H240" s="163"/>
      <c r="I240" s="165">
        <v>6395</v>
      </c>
      <c r="J240" s="311"/>
      <c r="K240" s="165">
        <v>8670</v>
      </c>
      <c r="L240" s="311"/>
      <c r="M240" s="165">
        <v>6650</v>
      </c>
      <c r="N240" s="165">
        <v>20378.8</v>
      </c>
      <c r="O240" s="311"/>
      <c r="P240" s="165">
        <v>7714</v>
      </c>
      <c r="Q240" s="311"/>
      <c r="R240" s="165">
        <v>8549.2199999999993</v>
      </c>
      <c r="S240" s="311"/>
      <c r="T240" s="282">
        <v>10000</v>
      </c>
      <c r="U240" s="282"/>
      <c r="V240" s="282">
        <v>8549.2199999999993</v>
      </c>
      <c r="W240" s="311"/>
      <c r="X240" s="311"/>
      <c r="Y240" s="282">
        <v>10000</v>
      </c>
      <c r="Z240" s="283">
        <f t="shared" si="24"/>
        <v>0</v>
      </c>
      <c r="AA240" s="101">
        <f t="shared" si="25"/>
        <v>0</v>
      </c>
    </row>
    <row r="241" spans="1:28" ht="15.75" customHeight="1">
      <c r="A241" s="161"/>
      <c r="B241" s="161"/>
      <c r="C241" s="177" t="s">
        <v>1364</v>
      </c>
      <c r="D241" s="161"/>
      <c r="E241" s="341" t="e">
        <f>SUM(#REF!)</f>
        <v>#REF!</v>
      </c>
      <c r="F241" s="342"/>
      <c r="G241" s="342"/>
      <c r="H241" s="342"/>
      <c r="I241" s="287">
        <f>SUM(I222:I240)</f>
        <v>90227.41</v>
      </c>
      <c r="J241" s="287"/>
      <c r="K241" s="287">
        <f>SUM(K222:K240)</f>
        <v>74956.05</v>
      </c>
      <c r="L241" s="287"/>
      <c r="M241" s="287">
        <f>SUM(M222:M240)</f>
        <v>85083.71</v>
      </c>
      <c r="N241" s="287">
        <f>SUM(N222:N240)</f>
        <v>156516.31</v>
      </c>
      <c r="O241" s="287"/>
      <c r="P241" s="287">
        <f>SUM(P222:P240)</f>
        <v>176891.21</v>
      </c>
      <c r="Q241" s="287"/>
      <c r="R241" s="242">
        <f>SUM(R222:R240)</f>
        <v>181988.12</v>
      </c>
      <c r="S241" s="242"/>
      <c r="T241" s="242">
        <f>SUM(T222:T240)</f>
        <v>199238</v>
      </c>
      <c r="U241" s="242">
        <f>SUM(U222:U240)</f>
        <v>0</v>
      </c>
      <c r="V241" s="242">
        <f>SUM(V222:V240)</f>
        <v>197528.95</v>
      </c>
      <c r="W241" s="242">
        <f>SUM(W222:W240)</f>
        <v>0</v>
      </c>
      <c r="X241" s="242"/>
      <c r="Y241" s="242">
        <f>SUM(Y222:Y240)</f>
        <v>202125</v>
      </c>
      <c r="Z241" s="291">
        <f>(Y241-T241)/T241</f>
        <v>1.4490207691303868E-2</v>
      </c>
      <c r="AA241" s="104">
        <f>SUM(AA222:AA240)</f>
        <v>2887</v>
      </c>
    </row>
    <row r="242" spans="1:28" ht="15.75" customHeight="1">
      <c r="C242" s="41"/>
      <c r="E242" s="93"/>
      <c r="F242" s="93"/>
      <c r="G242" s="93"/>
      <c r="H242" s="93"/>
      <c r="I242" s="108"/>
      <c r="K242" s="108"/>
      <c r="M242" s="108"/>
      <c r="N242" s="108"/>
      <c r="P242" s="108"/>
      <c r="R242" s="108"/>
      <c r="T242" s="131"/>
      <c r="U242" s="96"/>
      <c r="V242" s="96"/>
      <c r="Z242" s="115"/>
    </row>
    <row r="243" spans="1:28" ht="15.75" customHeight="1">
      <c r="A243" s="161"/>
      <c r="B243" s="161"/>
      <c r="C243" s="265" t="s">
        <v>338</v>
      </c>
      <c r="D243" s="161"/>
      <c r="E243" s="292"/>
      <c r="F243" s="292"/>
      <c r="G243" s="170"/>
      <c r="H243" s="170"/>
      <c r="I243" s="193"/>
      <c r="J243" s="168"/>
      <c r="K243" s="193"/>
      <c r="L243" s="168"/>
      <c r="M243" s="193"/>
      <c r="N243" s="193"/>
      <c r="O243" s="168"/>
      <c r="P243" s="193"/>
      <c r="Q243" s="168"/>
      <c r="R243" s="193"/>
      <c r="S243" s="168"/>
      <c r="T243" s="193"/>
      <c r="U243" s="193"/>
      <c r="V243" s="193"/>
      <c r="W243" s="168"/>
      <c r="X243" s="168"/>
      <c r="Y243" s="193"/>
      <c r="Z243" s="283"/>
    </row>
    <row r="244" spans="1:28" ht="15.75" customHeight="1">
      <c r="A244" s="161" t="s">
        <v>980</v>
      </c>
      <c r="B244" s="161"/>
      <c r="C244" s="161" t="s">
        <v>606</v>
      </c>
      <c r="D244" s="161"/>
      <c r="E244" s="162"/>
      <c r="F244" s="162"/>
      <c r="G244" s="163"/>
      <c r="H244" s="163"/>
      <c r="I244" s="165">
        <v>0</v>
      </c>
      <c r="J244" s="168"/>
      <c r="K244" s="165">
        <v>0</v>
      </c>
      <c r="L244" s="168"/>
      <c r="M244" s="165">
        <v>0</v>
      </c>
      <c r="N244" s="165">
        <v>0</v>
      </c>
      <c r="O244" s="168"/>
      <c r="P244" s="165">
        <v>626.63</v>
      </c>
      <c r="Q244" s="168"/>
      <c r="R244" s="165">
        <v>-0.5</v>
      </c>
      <c r="S244" s="168"/>
      <c r="T244" s="282">
        <v>52500</v>
      </c>
      <c r="U244" s="282"/>
      <c r="V244" s="282">
        <v>52500</v>
      </c>
      <c r="W244" s="168"/>
      <c r="X244" s="168"/>
      <c r="Y244" s="282">
        <v>0</v>
      </c>
      <c r="Z244" s="283">
        <f>(Y244-T244)/T244</f>
        <v>-1</v>
      </c>
      <c r="AA244" s="101">
        <f>Y244-T244</f>
        <v>-52500</v>
      </c>
    </row>
    <row r="245" spans="1:28" ht="15.75" hidden="1" customHeight="1">
      <c r="A245" s="161" t="s">
        <v>699</v>
      </c>
      <c r="B245" s="161"/>
      <c r="C245" s="161" t="s">
        <v>700</v>
      </c>
      <c r="D245" s="161"/>
      <c r="E245" s="162"/>
      <c r="F245" s="162"/>
      <c r="G245" s="163"/>
      <c r="H245" s="163"/>
      <c r="I245" s="165">
        <v>0</v>
      </c>
      <c r="J245" s="168"/>
      <c r="K245" s="165">
        <v>0</v>
      </c>
      <c r="L245" s="168"/>
      <c r="M245" s="165">
        <v>0</v>
      </c>
      <c r="N245" s="165"/>
      <c r="O245" s="168"/>
      <c r="P245" s="165"/>
      <c r="Q245" s="168"/>
      <c r="R245" s="165"/>
      <c r="S245" s="168"/>
      <c r="T245" s="282">
        <v>0</v>
      </c>
      <c r="U245" s="282"/>
      <c r="V245" s="282">
        <v>0</v>
      </c>
      <c r="W245" s="168"/>
      <c r="X245" s="168"/>
      <c r="Y245" s="282">
        <v>0</v>
      </c>
      <c r="Z245" s="283">
        <v>0</v>
      </c>
      <c r="AA245" s="101">
        <f>V245-T245</f>
        <v>0</v>
      </c>
    </row>
    <row r="246" spans="1:28" s="41" customFormat="1" ht="15.75" customHeight="1">
      <c r="A246" s="177"/>
      <c r="B246" s="177"/>
      <c r="C246" s="177" t="s">
        <v>1365</v>
      </c>
      <c r="D246" s="177"/>
      <c r="E246" s="285"/>
      <c r="F246" s="285"/>
      <c r="G246" s="286"/>
      <c r="H246" s="286"/>
      <c r="I246" s="287">
        <f>SUM(I245:I245)</f>
        <v>0</v>
      </c>
      <c r="J246" s="287"/>
      <c r="K246" s="287">
        <f>SUM(K245:K245)</f>
        <v>0</v>
      </c>
      <c r="L246" s="287"/>
      <c r="M246" s="287">
        <f>SUM(M245:M245)</f>
        <v>0</v>
      </c>
      <c r="N246" s="287">
        <f>SUM(N244:N245)</f>
        <v>0</v>
      </c>
      <c r="O246" s="287"/>
      <c r="P246" s="287">
        <f>SUM(P244:P245)</f>
        <v>626.63</v>
      </c>
      <c r="Q246" s="287"/>
      <c r="R246" s="242">
        <f>SUM(R244:R245)</f>
        <v>-0.5</v>
      </c>
      <c r="S246" s="242"/>
      <c r="T246" s="242">
        <f>SUM(T244)</f>
        <v>52500</v>
      </c>
      <c r="U246" s="242">
        <f>SUM(U244:U245)</f>
        <v>0</v>
      </c>
      <c r="V246" s="242">
        <f>SUM(V244:V245)</f>
        <v>52500</v>
      </c>
      <c r="W246" s="242">
        <f>SUM(W245:W245)</f>
        <v>0</v>
      </c>
      <c r="X246" s="242"/>
      <c r="Y246" s="242">
        <f>SUM(Y244:Y245)</f>
        <v>0</v>
      </c>
      <c r="Z246" s="291">
        <v>0</v>
      </c>
      <c r="AA246" s="104">
        <f>SUM(AA245:AA245)</f>
        <v>0</v>
      </c>
      <c r="AB246" s="107"/>
    </row>
    <row r="247" spans="1:28" ht="15.75" customHeight="1">
      <c r="C247" s="41"/>
      <c r="I247" s="96"/>
      <c r="J247" s="97"/>
      <c r="K247" s="96"/>
      <c r="L247" s="97"/>
      <c r="M247" s="96"/>
      <c r="N247" s="96"/>
      <c r="O247" s="97"/>
      <c r="P247" s="96"/>
      <c r="Q247" s="97"/>
      <c r="R247" s="96"/>
      <c r="S247" s="97"/>
      <c r="W247" s="97"/>
      <c r="X247" s="97"/>
      <c r="Y247" s="97"/>
      <c r="Z247" s="115"/>
    </row>
    <row r="248" spans="1:28" ht="15.75" customHeight="1">
      <c r="A248" s="161"/>
      <c r="B248" s="161"/>
      <c r="C248" s="265" t="s">
        <v>1347</v>
      </c>
      <c r="D248" s="161"/>
      <c r="E248" s="162"/>
      <c r="F248" s="162"/>
      <c r="G248" s="163"/>
      <c r="H248" s="163"/>
      <c r="I248" s="165"/>
      <c r="J248" s="167"/>
      <c r="K248" s="165"/>
      <c r="L248" s="167"/>
      <c r="M248" s="165"/>
      <c r="N248" s="165"/>
      <c r="O248" s="167"/>
      <c r="P248" s="165"/>
      <c r="Q248" s="167"/>
      <c r="R248" s="165"/>
      <c r="S248" s="167"/>
      <c r="T248" s="165"/>
      <c r="U248" s="167"/>
      <c r="V248" s="167"/>
      <c r="W248" s="167"/>
      <c r="X248" s="167"/>
      <c r="Y248" s="165"/>
      <c r="Z248" s="283"/>
    </row>
    <row r="249" spans="1:28" ht="15.75" customHeight="1">
      <c r="A249" s="161" t="s">
        <v>128</v>
      </c>
      <c r="B249" s="161"/>
      <c r="C249" s="161" t="s">
        <v>915</v>
      </c>
      <c r="D249" s="161"/>
      <c r="E249" s="162"/>
      <c r="F249" s="162"/>
      <c r="G249" s="163"/>
      <c r="H249" s="163"/>
      <c r="I249" s="165">
        <v>15675</v>
      </c>
      <c r="J249" s="167"/>
      <c r="K249" s="165">
        <v>14953.5</v>
      </c>
      <c r="L249" s="167"/>
      <c r="M249" s="165">
        <v>14217</v>
      </c>
      <c r="N249" s="165">
        <v>12565</v>
      </c>
      <c r="O249" s="167"/>
      <c r="P249" s="165">
        <v>11999</v>
      </c>
      <c r="Q249" s="167"/>
      <c r="R249" s="165">
        <v>864</v>
      </c>
      <c r="S249" s="167"/>
      <c r="T249" s="282">
        <v>0</v>
      </c>
      <c r="U249" s="282"/>
      <c r="V249" s="282">
        <v>0</v>
      </c>
      <c r="W249" s="167"/>
      <c r="X249" s="167"/>
      <c r="Y249" s="282">
        <v>0</v>
      </c>
      <c r="Z249" s="283" t="e">
        <f>(Y249-T249)/T249</f>
        <v>#DIV/0!</v>
      </c>
      <c r="AA249" s="101">
        <f>Y249-T249</f>
        <v>0</v>
      </c>
    </row>
    <row r="250" spans="1:28" ht="15.75" customHeight="1">
      <c r="A250" s="161" t="s">
        <v>916</v>
      </c>
      <c r="B250" s="161"/>
      <c r="C250" s="161" t="s">
        <v>914</v>
      </c>
      <c r="D250" s="161"/>
      <c r="E250" s="162"/>
      <c r="F250" s="162"/>
      <c r="G250" s="163"/>
      <c r="H250" s="163"/>
      <c r="I250" s="165">
        <v>0</v>
      </c>
      <c r="J250" s="167"/>
      <c r="K250" s="165">
        <v>14245.29</v>
      </c>
      <c r="L250" s="167"/>
      <c r="M250" s="165">
        <v>18399.099999999999</v>
      </c>
      <c r="N250" s="165">
        <v>17296.55</v>
      </c>
      <c r="O250" s="167"/>
      <c r="P250" s="165">
        <v>17313.5</v>
      </c>
      <c r="Q250" s="167"/>
      <c r="R250" s="165">
        <v>6238.25</v>
      </c>
      <c r="S250" s="167"/>
      <c r="T250" s="165">
        <v>8902</v>
      </c>
      <c r="U250" s="165"/>
      <c r="V250" s="165">
        <v>8902</v>
      </c>
      <c r="W250" s="167"/>
      <c r="X250" s="167"/>
      <c r="Y250" s="165">
        <v>7757.35</v>
      </c>
      <c r="Z250" s="283">
        <f>(Y250-T250)/T250</f>
        <v>-0.12858346439002466</v>
      </c>
      <c r="AA250" s="101">
        <f>Y250-T250</f>
        <v>-1144.6499999999996</v>
      </c>
    </row>
    <row r="251" spans="1:28" s="41" customFormat="1" ht="15.75" customHeight="1">
      <c r="A251" s="177"/>
      <c r="B251" s="177"/>
      <c r="C251" s="177" t="s">
        <v>1366</v>
      </c>
      <c r="D251" s="177"/>
      <c r="E251" s="285"/>
      <c r="F251" s="285"/>
      <c r="G251" s="286"/>
      <c r="H251" s="286"/>
      <c r="I251" s="287">
        <f>SUM(I250:I250)</f>
        <v>0</v>
      </c>
      <c r="J251" s="287"/>
      <c r="K251" s="287">
        <f>SUM(K249:K250)</f>
        <v>29198.79</v>
      </c>
      <c r="L251" s="287"/>
      <c r="M251" s="287">
        <f>SUM(M249:M250)</f>
        <v>32616.1</v>
      </c>
      <c r="N251" s="287">
        <f>SUM(N249:N250)</f>
        <v>29861.55</v>
      </c>
      <c r="O251" s="287"/>
      <c r="P251" s="287">
        <f>SUM(P249:P250)</f>
        <v>29312.5</v>
      </c>
      <c r="Q251" s="287"/>
      <c r="R251" s="242">
        <f>SUM(R249:R250)</f>
        <v>7102.25</v>
      </c>
      <c r="S251" s="242"/>
      <c r="T251" s="242">
        <f>SUM(T249:T250)</f>
        <v>8902</v>
      </c>
      <c r="U251" s="242">
        <f>SUM(U249:U250)</f>
        <v>0</v>
      </c>
      <c r="V251" s="242">
        <f>SUM(V249:V250)</f>
        <v>8902</v>
      </c>
      <c r="W251" s="242">
        <f>SUM(W250:W250)</f>
        <v>0</v>
      </c>
      <c r="X251" s="242"/>
      <c r="Y251" s="242">
        <f>SUM(Y249:Y250)</f>
        <v>7757.35</v>
      </c>
      <c r="Z251" s="291">
        <f>(Y251-T251)/T251</f>
        <v>-0.12858346439002466</v>
      </c>
      <c r="AA251" s="104">
        <f>SUM(AA249:AA250)</f>
        <v>-1144.6499999999996</v>
      </c>
      <c r="AB251" s="107"/>
    </row>
    <row r="252" spans="1:28" s="41" customFormat="1" ht="15.75" customHeight="1">
      <c r="E252" s="107"/>
      <c r="F252" s="107"/>
      <c r="G252" s="99"/>
      <c r="H252" s="99"/>
      <c r="I252" s="108"/>
      <c r="J252" s="108"/>
      <c r="K252" s="108"/>
      <c r="L252" s="108"/>
      <c r="M252" s="108"/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  <c r="X252" s="108"/>
      <c r="Y252" s="108"/>
      <c r="Z252" s="102"/>
      <c r="AA252" s="103"/>
      <c r="AB252" s="107"/>
    </row>
    <row r="253" spans="1:28" ht="15.75" customHeight="1" thickBot="1">
      <c r="C253" s="41"/>
      <c r="E253" s="105"/>
      <c r="I253" s="108"/>
      <c r="K253" s="108"/>
      <c r="M253" s="108"/>
      <c r="N253" s="108"/>
      <c r="P253" s="108"/>
      <c r="R253" s="108"/>
      <c r="T253" s="108"/>
      <c r="U253" s="108"/>
      <c r="V253" s="108"/>
      <c r="Y253" s="108"/>
      <c r="Z253" s="115"/>
    </row>
    <row r="254" spans="1:28" s="41" customFormat="1" ht="15.75" customHeight="1" thickBot="1">
      <c r="A254" s="177" t="s">
        <v>332</v>
      </c>
      <c r="B254" s="177"/>
      <c r="C254" s="177"/>
      <c r="D254" s="177"/>
      <c r="E254" s="335"/>
      <c r="F254" s="335"/>
      <c r="G254" s="336"/>
      <c r="H254" s="336"/>
      <c r="I254" s="306">
        <f>SUM(I164:I252)/2</f>
        <v>475070.31999999989</v>
      </c>
      <c r="J254" s="337"/>
      <c r="K254" s="306">
        <f>SUM(K164:K252)/2</f>
        <v>596590.30000000005</v>
      </c>
      <c r="L254" s="337"/>
      <c r="M254" s="306">
        <f>SUM(M164:M252)/2</f>
        <v>522585.89999999991</v>
      </c>
      <c r="N254" s="306">
        <f>SUM(N176,N187,N199,N219,N241,N246,N251)</f>
        <v>749325.64999999991</v>
      </c>
      <c r="O254" s="337"/>
      <c r="P254" s="306">
        <f>SUM(P176,P187,P199,P219,P241,P246,P251)</f>
        <v>763910.55999999994</v>
      </c>
      <c r="Q254" s="337"/>
      <c r="R254" s="308">
        <f>SUM(R176,R187,R199,R219,R241,R246,R251)</f>
        <v>840769.86</v>
      </c>
      <c r="S254" s="338"/>
      <c r="T254" s="308">
        <f>SUM(T176,T187,T199,T219,T241,T246,T251)</f>
        <v>1027078.7</v>
      </c>
      <c r="U254" s="308">
        <f>SUM(U176,U187,U199,U219,U241,U246,U251)</f>
        <v>0</v>
      </c>
      <c r="V254" s="308">
        <f>SUM(V176,V187,V199,V219,V241,V246,V251)</f>
        <v>1060981.6499999999</v>
      </c>
      <c r="W254" s="338"/>
      <c r="X254" s="338"/>
      <c r="Y254" s="308">
        <f>SUM(Y176,Y187,Y199,Y219,Y241,Y246,Y251)</f>
        <v>1019166.2899999999</v>
      </c>
      <c r="Z254" s="310">
        <f>(Y254-T254)/T254</f>
        <v>-7.7038010816503476E-3</v>
      </c>
      <c r="AA254" s="106">
        <f>SUM(AA164:AA252)/2</f>
        <v>18601.589999999997</v>
      </c>
      <c r="AB254" s="107"/>
    </row>
    <row r="255" spans="1:28" ht="15.75" customHeight="1" thickTop="1" thickBot="1">
      <c r="C255" s="41"/>
      <c r="E255" s="105"/>
      <c r="I255" s="108"/>
      <c r="K255" s="108"/>
      <c r="M255" s="108"/>
      <c r="N255" s="108"/>
      <c r="P255" s="108"/>
      <c r="R255" s="108"/>
      <c r="T255" s="108"/>
      <c r="U255" s="108"/>
      <c r="V255" s="108"/>
      <c r="Y255" s="108"/>
      <c r="Z255" s="115"/>
    </row>
    <row r="256" spans="1:28" ht="15.75" customHeight="1" thickBot="1">
      <c r="B256" s="424" t="s">
        <v>87</v>
      </c>
      <c r="C256" s="424"/>
      <c r="D256" s="161"/>
      <c r="E256" s="343" t="e">
        <f>SUM(E60:E252)/2</f>
        <v>#REF!</v>
      </c>
      <c r="F256" s="344"/>
      <c r="G256" s="345"/>
      <c r="H256" s="345"/>
      <c r="I256" s="346">
        <f>I161+I254</f>
        <v>1124057.3599999999</v>
      </c>
      <c r="J256" s="347"/>
      <c r="K256" s="346">
        <f>K161+K254</f>
        <v>1319658.8399999999</v>
      </c>
      <c r="L256" s="347"/>
      <c r="M256" s="346">
        <f>M161+M254</f>
        <v>1206523.21</v>
      </c>
      <c r="N256" s="346">
        <f>N161+N254</f>
        <v>1555492.16</v>
      </c>
      <c r="O256" s="347"/>
      <c r="P256" s="346">
        <f>P161+P254</f>
        <v>1492079.2800000003</v>
      </c>
      <c r="Q256" s="347"/>
      <c r="R256" s="348">
        <f>R161+R254</f>
        <v>1977133.3399999999</v>
      </c>
      <c r="S256" s="349"/>
      <c r="T256" s="348">
        <f>T161+T254</f>
        <v>2246590.4</v>
      </c>
      <c r="U256" s="348">
        <f>U161+U254</f>
        <v>0</v>
      </c>
      <c r="V256" s="348">
        <f>V161+V254</f>
        <v>2323736.4500000002</v>
      </c>
      <c r="W256" s="349"/>
      <c r="X256" s="349"/>
      <c r="Y256" s="348">
        <f>Y161+Y254</f>
        <v>2382136.1199999996</v>
      </c>
      <c r="Z256" s="350">
        <f>(Y256-T256)/T256</f>
        <v>6.0333970981091944E-2</v>
      </c>
    </row>
    <row r="257" spans="1:28" ht="15.75" customHeight="1">
      <c r="B257" s="41"/>
      <c r="E257" s="107"/>
      <c r="I257" s="108"/>
      <c r="K257" s="108"/>
      <c r="M257" s="108"/>
      <c r="N257" s="108"/>
      <c r="P257" s="108"/>
      <c r="R257" s="108"/>
      <c r="T257" s="108"/>
      <c r="U257" s="108"/>
      <c r="V257" s="108"/>
      <c r="Y257" s="108"/>
      <c r="Z257" s="115"/>
    </row>
    <row r="258" spans="1:28" ht="15.75" customHeight="1">
      <c r="B258" s="177" t="s">
        <v>921</v>
      </c>
      <c r="C258" s="161"/>
      <c r="D258" s="161"/>
      <c r="E258" s="292" t="e">
        <f>+E26-E256</f>
        <v>#REF!</v>
      </c>
      <c r="F258" s="162"/>
      <c r="G258" s="163"/>
      <c r="H258" s="161"/>
      <c r="I258" s="191" t="e">
        <f>+I44-I256</f>
        <v>#REF!</v>
      </c>
      <c r="J258" s="178"/>
      <c r="K258" s="191" t="e">
        <f>+K44-K256</f>
        <v>#REF!</v>
      </c>
      <c r="L258" s="178"/>
      <c r="M258" s="191" t="e">
        <f>+M44-M256</f>
        <v>#REF!</v>
      </c>
      <c r="N258" s="191">
        <f>+N44-N256</f>
        <v>508219.31000000029</v>
      </c>
      <c r="O258" s="178"/>
      <c r="P258" s="191">
        <f>+P44-P256</f>
        <v>733722.23999999929</v>
      </c>
      <c r="Q258" s="178"/>
      <c r="R258" s="242">
        <f>+R44-R256</f>
        <v>1300244.1000000001</v>
      </c>
      <c r="S258" s="351"/>
      <c r="T258" s="242">
        <f>T44-T256</f>
        <v>681997.60000000009</v>
      </c>
      <c r="U258" s="242">
        <f>+U44-U256</f>
        <v>0</v>
      </c>
      <c r="V258" s="242">
        <f>V44-V256</f>
        <v>735290.31999999983</v>
      </c>
      <c r="W258" s="340"/>
      <c r="X258" s="351"/>
      <c r="Y258" s="242">
        <f>+Y44-Y256</f>
        <v>722027.88000000035</v>
      </c>
      <c r="Z258" s="291">
        <f>(Y258-V258)/V258</f>
        <v>-1.8037011557556586E-2</v>
      </c>
    </row>
    <row r="259" spans="1:28" ht="15.75" customHeight="1">
      <c r="B259" s="177" t="s">
        <v>1085</v>
      </c>
      <c r="C259" s="161"/>
      <c r="D259" s="161"/>
      <c r="E259" s="162"/>
      <c r="F259" s="162"/>
      <c r="G259" s="163"/>
      <c r="H259" s="163"/>
      <c r="I259" s="165"/>
      <c r="J259" s="311"/>
      <c r="K259" s="165"/>
      <c r="L259" s="311"/>
      <c r="M259" s="165"/>
      <c r="N259" s="165"/>
      <c r="O259" s="311"/>
      <c r="P259" s="165"/>
      <c r="Q259" s="311"/>
      <c r="R259" s="165"/>
      <c r="S259" s="311"/>
      <c r="T259" s="311"/>
      <c r="U259" s="167"/>
      <c r="V259" s="167"/>
      <c r="W259" s="311"/>
      <c r="X259" s="311"/>
      <c r="Y259" s="311"/>
      <c r="Z259" s="283"/>
    </row>
    <row r="260" spans="1:28" ht="15.75" customHeight="1">
      <c r="B260" s="41"/>
      <c r="I260" s="96"/>
      <c r="K260" s="96"/>
      <c r="M260" s="96"/>
      <c r="N260" s="96"/>
      <c r="P260" s="96"/>
      <c r="R260" s="96"/>
      <c r="T260" s="131"/>
      <c r="Z260" s="115"/>
    </row>
    <row r="261" spans="1:28" ht="15.75" customHeight="1">
      <c r="A261" s="161"/>
      <c r="B261" s="161"/>
      <c r="C261" s="265" t="s">
        <v>1081</v>
      </c>
      <c r="D261" s="161"/>
      <c r="E261" s="162"/>
      <c r="F261" s="162"/>
      <c r="G261" s="163"/>
      <c r="H261" s="163"/>
      <c r="I261" s="165"/>
      <c r="J261" s="167"/>
      <c r="K261" s="165"/>
      <c r="L261" s="167"/>
      <c r="M261" s="165"/>
      <c r="N261" s="165"/>
      <c r="O261" s="167"/>
      <c r="P261" s="165"/>
      <c r="Q261" s="167"/>
      <c r="R261" s="165"/>
      <c r="S261" s="167"/>
      <c r="T261" s="165"/>
      <c r="U261" s="167"/>
      <c r="V261" s="167"/>
      <c r="W261" s="167"/>
      <c r="X261" s="167"/>
      <c r="Y261" s="165"/>
      <c r="Z261" s="283"/>
    </row>
    <row r="262" spans="1:28" ht="15.75" customHeight="1">
      <c r="A262" s="161" t="s">
        <v>840</v>
      </c>
      <c r="B262" s="161"/>
      <c r="C262" s="161" t="s">
        <v>1083</v>
      </c>
      <c r="D262" s="161"/>
      <c r="E262" s="162"/>
      <c r="F262" s="162"/>
      <c r="G262" s="163"/>
      <c r="H262" s="163"/>
      <c r="I262" s="165">
        <v>72133.5</v>
      </c>
      <c r="J262" s="167"/>
      <c r="K262" s="165">
        <v>73960</v>
      </c>
      <c r="L262" s="167"/>
      <c r="M262" s="165">
        <v>96388.5</v>
      </c>
      <c r="N262" s="165">
        <v>171046</v>
      </c>
      <c r="O262" s="167"/>
      <c r="P262" s="165">
        <v>208269.27</v>
      </c>
      <c r="Q262" s="167"/>
      <c r="R262" s="165">
        <v>225586.96</v>
      </c>
      <c r="S262" s="167"/>
      <c r="T262" s="282">
        <v>225000</v>
      </c>
      <c r="U262" s="282"/>
      <c r="V262" s="282">
        <v>225000</v>
      </c>
      <c r="W262" s="167"/>
      <c r="X262" s="167"/>
      <c r="Y262" s="282">
        <v>230000</v>
      </c>
      <c r="Z262" s="283">
        <f>(Y262-T262)/T262</f>
        <v>2.2222222222222223E-2</v>
      </c>
      <c r="AA262" s="101">
        <f>Y262-T262</f>
        <v>5000</v>
      </c>
    </row>
    <row r="263" spans="1:28" ht="15.75" customHeight="1">
      <c r="A263" s="161" t="s">
        <v>791</v>
      </c>
      <c r="B263" s="161"/>
      <c r="C263" s="161" t="s">
        <v>1082</v>
      </c>
      <c r="D263" s="161"/>
      <c r="E263" s="162"/>
      <c r="F263" s="162"/>
      <c r="G263" s="163"/>
      <c r="H263" s="163"/>
      <c r="I263" s="165">
        <v>157710.5</v>
      </c>
      <c r="J263" s="167"/>
      <c r="K263" s="165">
        <v>162548</v>
      </c>
      <c r="L263" s="167"/>
      <c r="M263" s="165">
        <v>175764.5</v>
      </c>
      <c r="N263" s="165">
        <v>483259</v>
      </c>
      <c r="O263" s="167"/>
      <c r="P263" s="165">
        <v>493962</v>
      </c>
      <c r="Q263" s="167"/>
      <c r="R263" s="165">
        <v>524812.37</v>
      </c>
      <c r="S263" s="167"/>
      <c r="T263" s="282">
        <v>535000</v>
      </c>
      <c r="U263" s="282"/>
      <c r="V263" s="282">
        <v>535000</v>
      </c>
      <c r="W263" s="167"/>
      <c r="X263" s="167"/>
      <c r="Y263" s="282">
        <v>540000</v>
      </c>
      <c r="Z263" s="283">
        <f>(Y263-T263)/T263</f>
        <v>9.3457943925233638E-3</v>
      </c>
      <c r="AA263" s="101">
        <f>Y263-T263</f>
        <v>5000</v>
      </c>
    </row>
    <row r="264" spans="1:28" s="41" customFormat="1" ht="15.75" customHeight="1">
      <c r="A264" s="177"/>
      <c r="B264" s="177"/>
      <c r="C264" s="177" t="s">
        <v>1084</v>
      </c>
      <c r="D264" s="177"/>
      <c r="E264" s="285"/>
      <c r="F264" s="285"/>
      <c r="G264" s="286"/>
      <c r="H264" s="286"/>
      <c r="I264" s="287">
        <f>SUM(I260:I263)</f>
        <v>229844</v>
      </c>
      <c r="J264" s="287"/>
      <c r="K264" s="287">
        <f>SUM(K260:K263)</f>
        <v>236508</v>
      </c>
      <c r="L264" s="287"/>
      <c r="M264" s="287">
        <f>SUM(M260:M263)</f>
        <v>272153</v>
      </c>
      <c r="N264" s="287">
        <f>SUM(N262:N263)</f>
        <v>654305</v>
      </c>
      <c r="O264" s="287"/>
      <c r="P264" s="287">
        <f>SUM(P262:P263)</f>
        <v>702231.27</v>
      </c>
      <c r="Q264" s="287"/>
      <c r="R264" s="242">
        <f>SUM(R262:R263)</f>
        <v>750399.33</v>
      </c>
      <c r="S264" s="242"/>
      <c r="T264" s="242">
        <f>SUM(T262:T263)</f>
        <v>760000</v>
      </c>
      <c r="U264" s="242">
        <f>SUM(U262:U263)</f>
        <v>0</v>
      </c>
      <c r="V264" s="242">
        <f>SUM(V262:V263)</f>
        <v>760000</v>
      </c>
      <c r="W264" s="242">
        <f>SUM(W260:W263)</f>
        <v>0</v>
      </c>
      <c r="X264" s="242"/>
      <c r="Y264" s="242">
        <f>SUM(Y262:Y263)</f>
        <v>770000</v>
      </c>
      <c r="Z264" s="291">
        <f>(Y264-T264)/T264</f>
        <v>1.3157894736842105E-2</v>
      </c>
      <c r="AA264" s="103"/>
      <c r="AB264" s="107"/>
    </row>
    <row r="265" spans="1:28" ht="15.75" customHeight="1">
      <c r="C265" s="41"/>
      <c r="I265" s="96"/>
      <c r="J265" s="97"/>
      <c r="K265" s="96"/>
      <c r="L265" s="97"/>
      <c r="M265" s="96"/>
      <c r="N265" s="96"/>
      <c r="O265" s="97"/>
      <c r="P265" s="96"/>
      <c r="Q265" s="97"/>
      <c r="R265" s="96"/>
      <c r="S265" s="97"/>
      <c r="T265" s="96"/>
      <c r="W265" s="97"/>
      <c r="X265" s="97"/>
      <c r="Y265" s="96"/>
      <c r="Z265" s="115"/>
    </row>
    <row r="266" spans="1:28" ht="15.75" customHeight="1">
      <c r="A266" s="161"/>
      <c r="B266" s="161"/>
      <c r="C266" s="265" t="s">
        <v>335</v>
      </c>
      <c r="D266" s="161"/>
      <c r="E266" s="162"/>
      <c r="F266" s="162"/>
      <c r="G266" s="163"/>
      <c r="H266" s="163"/>
      <c r="I266" s="165"/>
      <c r="J266" s="167"/>
      <c r="K266" s="165"/>
      <c r="L266" s="167"/>
      <c r="M266" s="165"/>
      <c r="N266" s="165"/>
      <c r="O266" s="167"/>
      <c r="P266" s="165"/>
      <c r="Q266" s="167"/>
      <c r="R266" s="165"/>
      <c r="S266" s="167"/>
      <c r="T266" s="165"/>
      <c r="U266" s="167"/>
      <c r="V266" s="167"/>
      <c r="W266" s="167"/>
      <c r="X266" s="167"/>
      <c r="Y266" s="165"/>
      <c r="Z266" s="283"/>
    </row>
    <row r="267" spans="1:28" ht="15.75" customHeight="1">
      <c r="A267" s="161" t="s">
        <v>1022</v>
      </c>
      <c r="B267" s="161"/>
      <c r="C267" s="161" t="s">
        <v>904</v>
      </c>
      <c r="D267" s="161"/>
      <c r="E267" s="162"/>
      <c r="F267" s="162"/>
      <c r="G267" s="163"/>
      <c r="H267" s="163"/>
      <c r="I267" s="165">
        <v>17750</v>
      </c>
      <c r="J267" s="167"/>
      <c r="K267" s="165">
        <v>0</v>
      </c>
      <c r="L267" s="167"/>
      <c r="M267" s="165">
        <v>20000</v>
      </c>
      <c r="N267" s="165">
        <v>0</v>
      </c>
      <c r="O267" s="167"/>
      <c r="P267" s="165">
        <v>0</v>
      </c>
      <c r="Q267" s="167"/>
      <c r="R267" s="165">
        <v>0</v>
      </c>
      <c r="S267" s="167"/>
      <c r="T267" s="282">
        <v>31000</v>
      </c>
      <c r="U267" s="282"/>
      <c r="V267" s="282">
        <v>0</v>
      </c>
      <c r="W267" s="167"/>
      <c r="X267" s="167"/>
      <c r="Y267" s="282">
        <v>0</v>
      </c>
      <c r="Z267" s="283">
        <f>(Y267-T267)/T267</f>
        <v>-1</v>
      </c>
      <c r="AA267" s="101">
        <f>Y267-T267</f>
        <v>-31000</v>
      </c>
    </row>
    <row r="268" spans="1:28" ht="15.75" customHeight="1">
      <c r="A268" s="161" t="s">
        <v>1023</v>
      </c>
      <c r="B268" s="161"/>
      <c r="C268" s="161" t="s">
        <v>905</v>
      </c>
      <c r="D268" s="161"/>
      <c r="E268" s="162"/>
      <c r="F268" s="162"/>
      <c r="G268" s="163"/>
      <c r="H268" s="163"/>
      <c r="I268" s="165">
        <v>1426.54</v>
      </c>
      <c r="J268" s="167"/>
      <c r="K268" s="165">
        <v>0</v>
      </c>
      <c r="L268" s="167"/>
      <c r="M268" s="165">
        <v>1000</v>
      </c>
      <c r="N268" s="165">
        <v>0</v>
      </c>
      <c r="O268" s="167"/>
      <c r="P268" s="165">
        <v>0</v>
      </c>
      <c r="Q268" s="167"/>
      <c r="R268" s="165">
        <v>0</v>
      </c>
      <c r="S268" s="167"/>
      <c r="T268" s="282">
        <v>1850</v>
      </c>
      <c r="U268" s="282"/>
      <c r="V268" s="282">
        <v>0</v>
      </c>
      <c r="W268" s="167"/>
      <c r="X268" s="167"/>
      <c r="Y268" s="282">
        <v>0</v>
      </c>
      <c r="Z268" s="283">
        <f>(Y268-T268)/T268</f>
        <v>-1</v>
      </c>
      <c r="AA268" s="101">
        <f>Y268-T268</f>
        <v>-1850</v>
      </c>
    </row>
    <row r="269" spans="1:28" ht="15.75" customHeight="1">
      <c r="A269" s="161" t="s">
        <v>1024</v>
      </c>
      <c r="B269" s="161"/>
      <c r="C269" s="161" t="s">
        <v>906</v>
      </c>
      <c r="D269" s="161"/>
      <c r="E269" s="162"/>
      <c r="F269" s="162"/>
      <c r="G269" s="163"/>
      <c r="H269" s="163"/>
      <c r="I269" s="165">
        <v>4789.82</v>
      </c>
      <c r="J269" s="167"/>
      <c r="K269" s="165">
        <v>0</v>
      </c>
      <c r="L269" s="167"/>
      <c r="M269" s="165">
        <v>2000</v>
      </c>
      <c r="N269" s="165">
        <v>0</v>
      </c>
      <c r="O269" s="167"/>
      <c r="P269" s="165">
        <v>0</v>
      </c>
      <c r="Q269" s="167"/>
      <c r="R269" s="165"/>
      <c r="S269" s="167"/>
      <c r="T269" s="282">
        <v>6192</v>
      </c>
      <c r="U269" s="282"/>
      <c r="V269" s="282">
        <v>0</v>
      </c>
      <c r="W269" s="167"/>
      <c r="X269" s="167"/>
      <c r="Y269" s="282">
        <v>0</v>
      </c>
      <c r="Z269" s="283">
        <f>(Y269-T269)/T269</f>
        <v>-1</v>
      </c>
      <c r="AA269" s="101">
        <f>Y269-T269</f>
        <v>-6192</v>
      </c>
    </row>
    <row r="270" spans="1:28" ht="15.75" customHeight="1">
      <c r="A270" s="161" t="s">
        <v>1025</v>
      </c>
      <c r="B270" s="161"/>
      <c r="C270" s="161" t="s">
        <v>908</v>
      </c>
      <c r="D270" s="161"/>
      <c r="E270" s="162"/>
      <c r="F270" s="162"/>
      <c r="G270" s="163"/>
      <c r="H270" s="163"/>
      <c r="I270" s="165">
        <v>0</v>
      </c>
      <c r="J270" s="167"/>
      <c r="K270" s="165">
        <v>0</v>
      </c>
      <c r="L270" s="167"/>
      <c r="M270" s="165">
        <v>30000</v>
      </c>
      <c r="N270" s="165">
        <v>0</v>
      </c>
      <c r="O270" s="167"/>
      <c r="P270" s="165">
        <v>0</v>
      </c>
      <c r="Q270" s="167"/>
      <c r="R270" s="165">
        <v>0</v>
      </c>
      <c r="S270" s="167"/>
      <c r="T270" s="282">
        <v>0</v>
      </c>
      <c r="U270" s="282">
        <v>0</v>
      </c>
      <c r="V270" s="282">
        <v>0</v>
      </c>
      <c r="W270" s="167"/>
      <c r="X270" s="167"/>
      <c r="Y270" s="282">
        <v>0</v>
      </c>
      <c r="Z270" s="283" t="e">
        <f>(Y270-T270)/T270</f>
        <v>#DIV/0!</v>
      </c>
      <c r="AA270" s="101">
        <f>Y270-T270</f>
        <v>0</v>
      </c>
    </row>
    <row r="271" spans="1:28" s="41" customFormat="1" ht="15.75" customHeight="1">
      <c r="A271" s="177"/>
      <c r="B271" s="177"/>
      <c r="C271" s="177" t="s">
        <v>306</v>
      </c>
      <c r="D271" s="177"/>
      <c r="E271" s="285"/>
      <c r="F271" s="285"/>
      <c r="G271" s="286"/>
      <c r="H271" s="286"/>
      <c r="I271" s="287">
        <f>SUM(I267:I270)</f>
        <v>23966.36</v>
      </c>
      <c r="J271" s="287"/>
      <c r="K271" s="287">
        <f>SUM(K267:K270)</f>
        <v>0</v>
      </c>
      <c r="L271" s="287"/>
      <c r="M271" s="287">
        <f>SUM(M267:M270)</f>
        <v>53000</v>
      </c>
      <c r="N271" s="287">
        <f>SUM(N267:N270)</f>
        <v>0</v>
      </c>
      <c r="O271" s="287"/>
      <c r="P271" s="287">
        <f>SUM(P267:P270)</f>
        <v>0</v>
      </c>
      <c r="Q271" s="287"/>
      <c r="R271" s="242">
        <f>SUM(R267:R270)</f>
        <v>0</v>
      </c>
      <c r="S271" s="242"/>
      <c r="T271" s="242">
        <f>SUM(T267:T269)</f>
        <v>39042</v>
      </c>
      <c r="U271" s="242">
        <f>SUM(U267:U270)</f>
        <v>0</v>
      </c>
      <c r="V271" s="242">
        <f>SUM(V267:V270)</f>
        <v>0</v>
      </c>
      <c r="W271" s="242">
        <f>SUM(W267:W270)</f>
        <v>0</v>
      </c>
      <c r="X271" s="242"/>
      <c r="Y271" s="242">
        <f>SUM(Y267:Y270)</f>
        <v>0</v>
      </c>
      <c r="Z271" s="291">
        <f>(Y271-T271)/T271</f>
        <v>-1</v>
      </c>
      <c r="AA271" s="103"/>
      <c r="AB271" s="107"/>
    </row>
    <row r="272" spans="1:28" s="41" customFormat="1" ht="15.75" customHeight="1">
      <c r="E272" s="107"/>
      <c r="F272" s="107"/>
      <c r="G272" s="99"/>
      <c r="H272" s="99"/>
      <c r="I272" s="108"/>
      <c r="J272" s="108"/>
      <c r="K272" s="108"/>
      <c r="L272" s="108"/>
      <c r="M272" s="108"/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  <c r="X272" s="108"/>
      <c r="Y272" s="108"/>
      <c r="Z272" s="102"/>
      <c r="AA272" s="103"/>
      <c r="AB272" s="107"/>
    </row>
    <row r="273" spans="1:28" ht="15.75" customHeight="1">
      <c r="A273" s="161"/>
      <c r="B273" s="161"/>
      <c r="C273" s="265" t="s">
        <v>339</v>
      </c>
      <c r="D273" s="161"/>
      <c r="E273" s="162"/>
      <c r="F273" s="162"/>
      <c r="G273" s="163"/>
      <c r="H273" s="163"/>
      <c r="I273" s="165"/>
      <c r="J273" s="167"/>
      <c r="K273" s="165"/>
      <c r="L273" s="167"/>
      <c r="M273" s="165"/>
      <c r="N273" s="165"/>
      <c r="O273" s="167"/>
      <c r="P273" s="165"/>
      <c r="Q273" s="167"/>
      <c r="R273" s="165"/>
      <c r="S273" s="167"/>
      <c r="T273" s="165"/>
      <c r="U273" s="167"/>
      <c r="V273" s="167"/>
      <c r="W273" s="167"/>
      <c r="X273" s="167"/>
      <c r="Y273" s="165"/>
      <c r="Z273" s="283"/>
    </row>
    <row r="274" spans="1:28" ht="15.75" customHeight="1">
      <c r="A274" s="161" t="s">
        <v>1020</v>
      </c>
      <c r="B274" s="161"/>
      <c r="C274" s="161" t="s">
        <v>909</v>
      </c>
      <c r="D274" s="161"/>
      <c r="E274" s="162"/>
      <c r="F274" s="162"/>
      <c r="G274" s="163"/>
      <c r="H274" s="163"/>
      <c r="I274" s="165">
        <v>0</v>
      </c>
      <c r="J274" s="167"/>
      <c r="K274" s="165">
        <v>0</v>
      </c>
      <c r="L274" s="167"/>
      <c r="M274" s="282">
        <v>12000</v>
      </c>
      <c r="N274" s="282">
        <v>0</v>
      </c>
      <c r="O274" s="167"/>
      <c r="P274" s="282">
        <v>0</v>
      </c>
      <c r="Q274" s="167"/>
      <c r="R274" s="282">
        <v>0</v>
      </c>
      <c r="S274" s="167"/>
      <c r="T274" s="282">
        <v>22000</v>
      </c>
      <c r="U274" s="282"/>
      <c r="V274" s="282">
        <v>22000</v>
      </c>
      <c r="W274" s="167"/>
      <c r="X274" s="167"/>
      <c r="Y274" s="282">
        <v>23000</v>
      </c>
      <c r="Z274" s="283">
        <f>(Y274-T274)/T274</f>
        <v>4.5454545454545456E-2</v>
      </c>
      <c r="AA274" s="101">
        <f>Y274-T274</f>
        <v>1000</v>
      </c>
    </row>
    <row r="275" spans="1:28" ht="15.75" customHeight="1">
      <c r="A275" s="161" t="s">
        <v>1021</v>
      </c>
      <c r="B275" s="161"/>
      <c r="C275" s="161" t="s">
        <v>907</v>
      </c>
      <c r="D275" s="161"/>
      <c r="E275" s="162"/>
      <c r="F275" s="162"/>
      <c r="G275" s="163"/>
      <c r="H275" s="163"/>
      <c r="I275" s="165">
        <v>15675</v>
      </c>
      <c r="J275" s="167"/>
      <c r="K275" s="165">
        <v>0</v>
      </c>
      <c r="L275" s="167"/>
      <c r="M275" s="282">
        <v>15000</v>
      </c>
      <c r="N275" s="282">
        <v>0</v>
      </c>
      <c r="O275" s="167"/>
      <c r="P275" s="282">
        <v>0</v>
      </c>
      <c r="Q275" s="167"/>
      <c r="R275" s="282">
        <v>0</v>
      </c>
      <c r="S275" s="167"/>
      <c r="T275" s="282">
        <v>0</v>
      </c>
      <c r="U275" s="282"/>
      <c r="V275" s="282">
        <v>0</v>
      </c>
      <c r="W275" s="167"/>
      <c r="X275" s="167"/>
      <c r="Y275" s="282">
        <v>0</v>
      </c>
      <c r="Z275" s="283" t="e">
        <f>(Y275-T275)/T275</f>
        <v>#DIV/0!</v>
      </c>
      <c r="AA275" s="101">
        <f>Y275-T275</f>
        <v>0</v>
      </c>
    </row>
    <row r="276" spans="1:28" s="41" customFormat="1" ht="15.75" customHeight="1">
      <c r="A276" s="177"/>
      <c r="B276" s="177"/>
      <c r="C276" s="177" t="s">
        <v>306</v>
      </c>
      <c r="D276" s="177"/>
      <c r="E276" s="285"/>
      <c r="F276" s="285"/>
      <c r="G276" s="286"/>
      <c r="H276" s="286"/>
      <c r="I276" s="287" t="e">
        <f>SUM(#REF!)</f>
        <v>#REF!</v>
      </c>
      <c r="J276" s="287"/>
      <c r="K276" s="287">
        <f>SUM(K274:K275)</f>
        <v>0</v>
      </c>
      <c r="L276" s="287"/>
      <c r="M276" s="287">
        <f>SUM(M274:M275)</f>
        <v>27000</v>
      </c>
      <c r="N276" s="287">
        <f>SUM(N274:N275)</f>
        <v>0</v>
      </c>
      <c r="O276" s="287"/>
      <c r="P276" s="287">
        <f>SUM(P274:P275)</f>
        <v>0</v>
      </c>
      <c r="Q276" s="287"/>
      <c r="R276" s="242">
        <f>SUM(R274:R275)</f>
        <v>0</v>
      </c>
      <c r="S276" s="242"/>
      <c r="T276" s="242">
        <f>SUM(T274:T275)</f>
        <v>22000</v>
      </c>
      <c r="U276" s="242">
        <f>SUM(U274:U275)</f>
        <v>0</v>
      </c>
      <c r="V276" s="242">
        <f>SUM(V274:V275)</f>
        <v>22000</v>
      </c>
      <c r="W276" s="242" t="e">
        <f>SUM(#REF!)</f>
        <v>#REF!</v>
      </c>
      <c r="X276" s="242"/>
      <c r="Y276" s="242">
        <f>SUM(Y274:Y275)</f>
        <v>23000</v>
      </c>
      <c r="Z276" s="291">
        <f>(Y276-T276)/T276</f>
        <v>4.5454545454545456E-2</v>
      </c>
      <c r="AA276" s="103"/>
      <c r="AB276" s="107"/>
    </row>
    <row r="277" spans="1:28" ht="15.75" customHeight="1">
      <c r="C277" s="41"/>
      <c r="I277" s="96"/>
      <c r="J277" s="97"/>
      <c r="K277" s="96"/>
      <c r="L277" s="97"/>
      <c r="M277" s="96"/>
      <c r="N277" s="96"/>
      <c r="O277" s="97"/>
      <c r="P277" s="96"/>
      <c r="Q277" s="97"/>
      <c r="R277" s="96"/>
      <c r="S277" s="97"/>
      <c r="T277" s="96"/>
      <c r="W277" s="97"/>
      <c r="X277" s="97"/>
      <c r="Y277" s="96"/>
      <c r="Z277" s="115"/>
    </row>
    <row r="278" spans="1:28" ht="15.75" customHeight="1">
      <c r="A278" s="161" t="s">
        <v>444</v>
      </c>
      <c r="B278" s="161"/>
      <c r="C278" s="161" t="s">
        <v>816</v>
      </c>
      <c r="D278" s="161"/>
      <c r="E278" s="162"/>
      <c r="F278" s="162"/>
      <c r="G278" s="163"/>
      <c r="H278" s="163"/>
      <c r="I278" s="165">
        <v>0</v>
      </c>
      <c r="J278" s="168"/>
      <c r="K278" s="165">
        <v>137371.29</v>
      </c>
      <c r="L278" s="168"/>
      <c r="M278" s="165">
        <v>92475.87</v>
      </c>
      <c r="N278" s="165">
        <v>116171.2</v>
      </c>
      <c r="O278" s="168"/>
      <c r="P278" s="165">
        <v>121637.35</v>
      </c>
      <c r="Q278" s="168"/>
      <c r="R278" s="165">
        <v>117143.75</v>
      </c>
      <c r="S278" s="168"/>
      <c r="T278" s="282">
        <v>119144</v>
      </c>
      <c r="U278" s="282"/>
      <c r="V278" s="282">
        <v>115231.25</v>
      </c>
      <c r="W278" s="168"/>
      <c r="X278" s="168"/>
      <c r="Y278" s="282">
        <v>113318.75</v>
      </c>
      <c r="Z278" s="283">
        <f>(Y278-T278)/T278</f>
        <v>-4.8892516618545628E-2</v>
      </c>
      <c r="AA278" s="101">
        <f t="shared" ref="AA278:AA284" si="26">Y278-T278</f>
        <v>-5825.25</v>
      </c>
    </row>
    <row r="279" spans="1:28" ht="15.75" customHeight="1">
      <c r="A279" s="161" t="s">
        <v>701</v>
      </c>
      <c r="B279" s="161"/>
      <c r="C279" s="161" t="s">
        <v>1087</v>
      </c>
      <c r="D279" s="161"/>
      <c r="E279" s="162"/>
      <c r="F279" s="162"/>
      <c r="G279" s="163"/>
      <c r="H279" s="163"/>
      <c r="I279" s="165">
        <v>224548</v>
      </c>
      <c r="J279" s="168"/>
      <c r="K279" s="165">
        <v>5400</v>
      </c>
      <c r="L279" s="168"/>
      <c r="M279" s="165">
        <v>5000</v>
      </c>
      <c r="N279" s="165">
        <v>15400</v>
      </c>
      <c r="O279" s="168"/>
      <c r="P279" s="165">
        <v>75800</v>
      </c>
      <c r="Q279" s="168"/>
      <c r="R279" s="165">
        <v>190000</v>
      </c>
      <c r="S279" s="168"/>
      <c r="T279" s="282">
        <v>190000</v>
      </c>
      <c r="U279" s="282"/>
      <c r="V279" s="282">
        <v>190000</v>
      </c>
      <c r="W279" s="168"/>
      <c r="X279" s="168"/>
      <c r="Y279" s="282">
        <v>190000</v>
      </c>
      <c r="Z279" s="283">
        <f t="shared" ref="Z279:Z284" si="27">(Y279-T279)/T279</f>
        <v>0</v>
      </c>
      <c r="AA279" s="101">
        <f t="shared" si="26"/>
        <v>0</v>
      </c>
    </row>
    <row r="280" spans="1:28" ht="15.75" customHeight="1">
      <c r="A280" s="161" t="s">
        <v>917</v>
      </c>
      <c r="B280" s="161"/>
      <c r="C280" s="161" t="s">
        <v>1143</v>
      </c>
      <c r="D280" s="161"/>
      <c r="E280" s="162"/>
      <c r="F280" s="162"/>
      <c r="G280" s="163"/>
      <c r="H280" s="163"/>
      <c r="I280" s="284">
        <v>0</v>
      </c>
      <c r="J280" s="167"/>
      <c r="K280" s="284">
        <v>356.18</v>
      </c>
      <c r="L280" s="167"/>
      <c r="M280" s="284">
        <v>0</v>
      </c>
      <c r="N280" s="284"/>
      <c r="O280" s="167"/>
      <c r="P280" s="165">
        <v>2750</v>
      </c>
      <c r="Q280" s="167"/>
      <c r="R280" s="165">
        <v>99961</v>
      </c>
      <c r="S280" s="167"/>
      <c r="T280" s="282">
        <v>98170</v>
      </c>
      <c r="U280" s="282"/>
      <c r="V280" s="282">
        <v>98170</v>
      </c>
      <c r="W280" s="167"/>
      <c r="X280" s="167"/>
      <c r="Y280" s="282">
        <v>96992.75</v>
      </c>
      <c r="Z280" s="283">
        <f t="shared" si="27"/>
        <v>-1.1991952735051442E-2</v>
      </c>
      <c r="AA280" s="101">
        <f t="shared" si="26"/>
        <v>-1177.25</v>
      </c>
    </row>
    <row r="281" spans="1:28" ht="15.75" customHeight="1">
      <c r="A281" s="161" t="s">
        <v>1170</v>
      </c>
      <c r="B281" s="161"/>
      <c r="C281" s="161" t="s">
        <v>1144</v>
      </c>
      <c r="D281" s="161"/>
      <c r="E281" s="162"/>
      <c r="F281" s="162"/>
      <c r="G281" s="163"/>
      <c r="H281" s="163"/>
      <c r="I281" s="284">
        <v>0</v>
      </c>
      <c r="J281" s="167"/>
      <c r="K281" s="284">
        <v>356.18</v>
      </c>
      <c r="L281" s="167"/>
      <c r="M281" s="284">
        <v>0</v>
      </c>
      <c r="N281" s="284"/>
      <c r="O281" s="167"/>
      <c r="P281" s="284">
        <v>10647.36</v>
      </c>
      <c r="Q281" s="167"/>
      <c r="R281" s="165">
        <v>137867</v>
      </c>
      <c r="S281" s="167"/>
      <c r="T281" s="282">
        <v>135304</v>
      </c>
      <c r="U281" s="352"/>
      <c r="V281" s="282">
        <v>135304</v>
      </c>
      <c r="W281" s="167"/>
      <c r="X281" s="167"/>
      <c r="Y281" s="282">
        <v>133301.5</v>
      </c>
      <c r="Z281" s="283">
        <f t="shared" si="27"/>
        <v>-1.4800005912611601E-2</v>
      </c>
      <c r="AA281" s="101">
        <f t="shared" si="26"/>
        <v>-2002.5</v>
      </c>
    </row>
    <row r="282" spans="1:28" ht="15.75" customHeight="1">
      <c r="A282" s="161" t="s">
        <v>1282</v>
      </c>
      <c r="B282" s="161"/>
      <c r="C282" s="161" t="s">
        <v>972</v>
      </c>
      <c r="D282" s="161"/>
      <c r="E282" s="162"/>
      <c r="F282" s="162"/>
      <c r="G282" s="163"/>
      <c r="H282" s="163"/>
      <c r="I282" s="284"/>
      <c r="J282" s="167"/>
      <c r="K282" s="284"/>
      <c r="L282" s="167"/>
      <c r="M282" s="284"/>
      <c r="N282" s="284"/>
      <c r="O282" s="167"/>
      <c r="P282" s="284"/>
      <c r="Q282" s="167"/>
      <c r="R282" s="165">
        <v>14900</v>
      </c>
      <c r="S282" s="167"/>
      <c r="T282" s="282">
        <v>0</v>
      </c>
      <c r="U282" s="352"/>
      <c r="V282" s="282">
        <v>3800</v>
      </c>
      <c r="W282" s="167"/>
      <c r="X282" s="167"/>
      <c r="Y282" s="282">
        <v>3800</v>
      </c>
      <c r="Z282" s="283">
        <v>0</v>
      </c>
      <c r="AA282" s="101">
        <f t="shared" si="26"/>
        <v>3800</v>
      </c>
    </row>
    <row r="283" spans="1:28" ht="15.75" customHeight="1">
      <c r="A283" s="161" t="s">
        <v>1299</v>
      </c>
      <c r="B283" s="161"/>
      <c r="C283" s="161" t="s">
        <v>1300</v>
      </c>
      <c r="D283" s="161"/>
      <c r="E283" s="162"/>
      <c r="F283" s="162"/>
      <c r="G283" s="163"/>
      <c r="H283" s="163"/>
      <c r="I283" s="284"/>
      <c r="J283" s="167"/>
      <c r="K283" s="284"/>
      <c r="L283" s="167"/>
      <c r="M283" s="284"/>
      <c r="N283" s="284"/>
      <c r="O283" s="167"/>
      <c r="P283" s="284"/>
      <c r="Q283" s="167"/>
      <c r="R283" s="165">
        <v>56328</v>
      </c>
      <c r="S283" s="167"/>
      <c r="T283" s="282">
        <v>54828</v>
      </c>
      <c r="U283" s="352"/>
      <c r="V283" s="282">
        <v>54828</v>
      </c>
      <c r="W283" s="167"/>
      <c r="X283" s="167"/>
      <c r="Y283" s="282">
        <v>114828</v>
      </c>
      <c r="Z283" s="283">
        <f t="shared" si="27"/>
        <v>1.094331363536879</v>
      </c>
      <c r="AA283" s="101">
        <f t="shared" si="26"/>
        <v>60000</v>
      </c>
    </row>
    <row r="284" spans="1:28" ht="15.75" customHeight="1">
      <c r="A284" s="161" t="s">
        <v>1301</v>
      </c>
      <c r="B284" s="161"/>
      <c r="C284" s="161" t="s">
        <v>1302</v>
      </c>
      <c r="D284" s="161"/>
      <c r="E284" s="162"/>
      <c r="F284" s="162"/>
      <c r="G284" s="163"/>
      <c r="H284" s="163"/>
      <c r="I284" s="165"/>
      <c r="J284" s="167"/>
      <c r="K284" s="165"/>
      <c r="L284" s="167"/>
      <c r="M284" s="165"/>
      <c r="N284" s="165"/>
      <c r="O284" s="167"/>
      <c r="P284" s="165"/>
      <c r="Q284" s="167"/>
      <c r="R284" s="165">
        <v>23287</v>
      </c>
      <c r="S284" s="167"/>
      <c r="T284" s="282">
        <v>21787</v>
      </c>
      <c r="U284" s="282"/>
      <c r="V284" s="282">
        <v>21787</v>
      </c>
      <c r="W284" s="167"/>
      <c r="X284" s="167"/>
      <c r="Y284" s="282">
        <v>46787</v>
      </c>
      <c r="Z284" s="283">
        <f t="shared" si="27"/>
        <v>1.1474732638729517</v>
      </c>
      <c r="AA284" s="101">
        <f t="shared" si="26"/>
        <v>25000</v>
      </c>
    </row>
    <row r="285" spans="1:28" s="41" customFormat="1" ht="15.75" customHeight="1">
      <c r="A285" s="177"/>
      <c r="B285" s="177"/>
      <c r="C285" s="407" t="s">
        <v>918</v>
      </c>
      <c r="D285" s="177"/>
      <c r="E285" s="285">
        <v>-120000</v>
      </c>
      <c r="F285" s="285"/>
      <c r="G285" s="286"/>
      <c r="H285" s="286"/>
      <c r="I285" s="288">
        <f>SUM(I278:I281)</f>
        <v>224548</v>
      </c>
      <c r="J285" s="353"/>
      <c r="K285" s="288">
        <f>SUM(K278:K281)</f>
        <v>143483.65</v>
      </c>
      <c r="L285" s="353"/>
      <c r="M285" s="288">
        <f>SUM(M278:M281)</f>
        <v>97475.87</v>
      </c>
      <c r="N285" s="288">
        <f>SUM(N278:N281)</f>
        <v>131571.20000000001</v>
      </c>
      <c r="O285" s="353"/>
      <c r="P285" s="288">
        <f>SUM(P278:P281)</f>
        <v>210834.71000000002</v>
      </c>
      <c r="Q285" s="353"/>
      <c r="R285" s="289">
        <f>SUM(R278:R284)</f>
        <v>639486.75</v>
      </c>
      <c r="S285" s="354"/>
      <c r="T285" s="289">
        <f>SUM(T278:T284)</f>
        <v>619233</v>
      </c>
      <c r="U285" s="289">
        <f>SUM(U278:U281)</f>
        <v>0</v>
      </c>
      <c r="V285" s="289">
        <f>SUM(V278:V284)</f>
        <v>619120.25</v>
      </c>
      <c r="W285" s="354"/>
      <c r="X285" s="354"/>
      <c r="Y285" s="289">
        <f>SUM(Y278:Y284)</f>
        <v>699028</v>
      </c>
      <c r="Z285" s="291">
        <v>0</v>
      </c>
      <c r="AA285" s="104">
        <f>SUM(AA278:AA284)</f>
        <v>79795</v>
      </c>
      <c r="AB285" s="107"/>
    </row>
    <row r="286" spans="1:28" ht="15.75" customHeight="1">
      <c r="T286" s="131"/>
      <c r="Z286" s="115"/>
    </row>
    <row r="287" spans="1:28" ht="15.75" customHeight="1">
      <c r="B287" s="177" t="s">
        <v>1086</v>
      </c>
      <c r="C287" s="161"/>
      <c r="D287" s="161"/>
      <c r="E287" s="292">
        <f>+E53-E285</f>
        <v>120000</v>
      </c>
      <c r="F287" s="162"/>
      <c r="G287" s="163"/>
      <c r="H287" s="161"/>
      <c r="I287" s="191">
        <f>+I66-I285</f>
        <v>-185418.88</v>
      </c>
      <c r="J287" s="178"/>
      <c r="K287" s="191">
        <f>K271+K276+K285</f>
        <v>143483.65</v>
      </c>
      <c r="L287" s="178"/>
      <c r="M287" s="191">
        <f>M271+M276+M285</f>
        <v>177475.87</v>
      </c>
      <c r="N287" s="191">
        <f>N271+N276+N285</f>
        <v>131571.20000000001</v>
      </c>
      <c r="O287" s="178"/>
      <c r="P287" s="191">
        <f>P264+P271+P276+P285</f>
        <v>913065.98</v>
      </c>
      <c r="Q287" s="178"/>
      <c r="R287" s="242">
        <f>R264+R271+R276+R285</f>
        <v>1389886.08</v>
      </c>
      <c r="S287" s="351"/>
      <c r="T287" s="242">
        <f>T264+T271+T276+T285</f>
        <v>1440275</v>
      </c>
      <c r="U287" s="242">
        <f>U264+U271+U276+U285</f>
        <v>0</v>
      </c>
      <c r="V287" s="242">
        <f>V264+V271+V276+V285</f>
        <v>1401120.25</v>
      </c>
      <c r="W287" s="340"/>
      <c r="X287" s="351"/>
      <c r="Y287" s="242">
        <f>Y264+Y271+Y276+Y285</f>
        <v>1492028</v>
      </c>
      <c r="Z287" s="291">
        <f>(Y287-T287)/T287</f>
        <v>3.5932721181718766E-2</v>
      </c>
    </row>
    <row r="288" spans="1:28" ht="15.75" customHeight="1">
      <c r="B288" s="41"/>
      <c r="E288" s="107"/>
      <c r="H288" s="93"/>
      <c r="I288" s="139"/>
      <c r="J288" s="101"/>
      <c r="K288" s="139"/>
      <c r="L288" s="101"/>
      <c r="M288" s="139"/>
      <c r="N288" s="139"/>
      <c r="O288" s="101"/>
      <c r="P288" s="139"/>
      <c r="Q288" s="101"/>
      <c r="R288" s="139"/>
      <c r="S288" s="101"/>
      <c r="T288" s="139"/>
      <c r="U288" s="139"/>
      <c r="V288" s="139"/>
      <c r="W288" s="140"/>
      <c r="X288" s="101"/>
      <c r="Y288" s="139"/>
      <c r="Z288" s="129"/>
    </row>
    <row r="289" spans="2:27" ht="15.75" customHeight="1" thickBot="1">
      <c r="B289" s="177" t="s">
        <v>919</v>
      </c>
      <c r="C289" s="161"/>
      <c r="D289" s="161"/>
      <c r="E289" s="355" t="e">
        <f>+E258+E285</f>
        <v>#REF!</v>
      </c>
      <c r="F289" s="162"/>
      <c r="G289" s="163"/>
      <c r="H289" s="163"/>
      <c r="I289" s="225" t="e">
        <f>I258-I285</f>
        <v>#REF!</v>
      </c>
      <c r="J289" s="311"/>
      <c r="K289" s="225" t="e">
        <f>K258-K287</f>
        <v>#REF!</v>
      </c>
      <c r="L289" s="311"/>
      <c r="M289" s="225" t="e">
        <f>M258-M287</f>
        <v>#REF!</v>
      </c>
      <c r="N289" s="225">
        <f>N258-N287</f>
        <v>376648.11000000028</v>
      </c>
      <c r="O289" s="311"/>
      <c r="P289" s="225">
        <f>P258-P287</f>
        <v>-179343.74000000069</v>
      </c>
      <c r="Q289" s="311"/>
      <c r="R289" s="226">
        <f>R258-R287</f>
        <v>-89641.979999999981</v>
      </c>
      <c r="S289" s="356"/>
      <c r="T289" s="226">
        <f>T258-T287</f>
        <v>-758277.39999999991</v>
      </c>
      <c r="U289" s="226">
        <f>U258-U287</f>
        <v>0</v>
      </c>
      <c r="V289" s="226">
        <f>V258-V287</f>
        <v>-665829.93000000017</v>
      </c>
      <c r="W289" s="356"/>
      <c r="X289" s="356"/>
      <c r="Y289" s="226">
        <f>Y258-Y287</f>
        <v>-770000.11999999965</v>
      </c>
      <c r="Z289" s="357">
        <f>(Y289-T289)/T289</f>
        <v>1.54596721463672E-2</v>
      </c>
      <c r="AA289" s="92">
        <f>SUM(AA60:AA286)</f>
        <v>374108.49</v>
      </c>
    </row>
    <row r="290" spans="2:27" ht="15.75" customHeight="1" thickTop="1"/>
    <row r="291" spans="2:27" ht="15.75" customHeight="1">
      <c r="P291" s="97">
        <f>P256+P287</f>
        <v>2405145.2600000002</v>
      </c>
      <c r="R291" s="97">
        <f>R256+R287</f>
        <v>3367019.42</v>
      </c>
      <c r="T291" s="97">
        <f>T256+T287</f>
        <v>3686865.4</v>
      </c>
      <c r="U291" s="97">
        <f>U256+U287</f>
        <v>0</v>
      </c>
      <c r="V291" s="97">
        <f>V256+V287</f>
        <v>3724856.7</v>
      </c>
      <c r="Y291" s="97">
        <f>Y256+Y287</f>
        <v>3874164.1199999996</v>
      </c>
    </row>
    <row r="292" spans="2:27" ht="15.75" customHeight="1">
      <c r="U292" s="141"/>
    </row>
    <row r="293" spans="2:27" ht="15.75" customHeight="1"/>
    <row r="294" spans="2:27" ht="15.75" customHeight="1"/>
    <row r="295" spans="2:27" ht="15.75" customHeight="1"/>
    <row r="296" spans="2:27" ht="15.75" customHeight="1"/>
    <row r="297" spans="2:27" ht="15.75" customHeight="1"/>
    <row r="298" spans="2:27" ht="15.75" customHeight="1">
      <c r="J298" s="97"/>
      <c r="L298" s="97"/>
      <c r="O298" s="97"/>
      <c r="Q298" s="97"/>
      <c r="S298" s="97"/>
      <c r="W298" s="97"/>
      <c r="X298" s="97"/>
    </row>
    <row r="299" spans="2:27" ht="15.75" customHeight="1">
      <c r="J299" s="97"/>
      <c r="L299" s="97"/>
      <c r="O299" s="97"/>
      <c r="Q299" s="97"/>
      <c r="S299" s="97"/>
      <c r="W299" s="97"/>
      <c r="X299" s="97"/>
    </row>
    <row r="300" spans="2:27" ht="15.75" customHeight="1">
      <c r="J300" s="97"/>
      <c r="L300" s="97"/>
      <c r="O300" s="97"/>
      <c r="Q300" s="97"/>
      <c r="S300" s="97"/>
      <c r="W300" s="97"/>
      <c r="X300" s="97"/>
    </row>
    <row r="301" spans="2:27" ht="15.75" customHeight="1">
      <c r="J301" s="97"/>
      <c r="L301" s="97"/>
      <c r="O301" s="97"/>
      <c r="Q301" s="97"/>
      <c r="S301" s="97"/>
      <c r="W301" s="97"/>
      <c r="X301" s="97"/>
    </row>
    <row r="302" spans="2:27" ht="15.75" customHeight="1">
      <c r="J302" s="97"/>
      <c r="L302" s="97"/>
      <c r="O302" s="97"/>
      <c r="Q302" s="97"/>
      <c r="S302" s="97"/>
      <c r="W302" s="97"/>
      <c r="X302" s="97"/>
    </row>
    <row r="303" spans="2:27" ht="15.75" customHeight="1">
      <c r="J303" s="97"/>
      <c r="L303" s="97"/>
      <c r="O303" s="97"/>
      <c r="Q303" s="97"/>
      <c r="S303" s="97"/>
      <c r="W303" s="97"/>
      <c r="X303" s="97"/>
    </row>
    <row r="304" spans="2:27" ht="15.75" customHeight="1">
      <c r="J304" s="97"/>
      <c r="L304" s="97"/>
      <c r="O304" s="97"/>
      <c r="Q304" s="97"/>
      <c r="S304" s="97"/>
      <c r="W304" s="97"/>
      <c r="X304" s="97"/>
    </row>
    <row r="305" spans="10:24" ht="15.75" customHeight="1">
      <c r="J305" s="97"/>
      <c r="L305" s="97"/>
      <c r="O305" s="97"/>
      <c r="Q305" s="97"/>
      <c r="S305" s="97"/>
      <c r="W305" s="97"/>
      <c r="X305" s="97"/>
    </row>
    <row r="306" spans="10:24" ht="15.75" customHeight="1">
      <c r="J306" s="97"/>
      <c r="L306" s="97"/>
      <c r="O306" s="97"/>
      <c r="Q306" s="97"/>
      <c r="S306" s="97"/>
      <c r="W306" s="97"/>
      <c r="X306" s="97"/>
    </row>
    <row r="307" spans="10:24" ht="15.75" customHeight="1">
      <c r="J307" s="97"/>
      <c r="L307" s="97"/>
      <c r="O307" s="97"/>
      <c r="Q307" s="97"/>
      <c r="S307" s="97"/>
      <c r="W307" s="97"/>
      <c r="X307" s="97"/>
    </row>
    <row r="308" spans="10:24" ht="15.75" customHeight="1">
      <c r="J308" s="97"/>
      <c r="L308" s="97"/>
      <c r="O308" s="97"/>
      <c r="Q308" s="97"/>
      <c r="S308" s="97"/>
      <c r="W308" s="97"/>
      <c r="X308" s="97"/>
    </row>
    <row r="309" spans="10:24" ht="15.75" customHeight="1">
      <c r="J309" s="97"/>
      <c r="L309" s="97"/>
      <c r="O309" s="97"/>
      <c r="Q309" s="97"/>
      <c r="S309" s="97"/>
      <c r="W309" s="97"/>
      <c r="X309" s="97"/>
    </row>
    <row r="310" spans="10:24" ht="15.75" customHeight="1">
      <c r="J310" s="97"/>
      <c r="L310" s="97"/>
      <c r="O310" s="97"/>
      <c r="Q310" s="97"/>
      <c r="S310" s="97"/>
      <c r="W310" s="97"/>
      <c r="X310" s="97"/>
    </row>
    <row r="311" spans="10:24" ht="15.75" customHeight="1">
      <c r="J311" s="97"/>
      <c r="L311" s="97"/>
      <c r="O311" s="97"/>
      <c r="Q311" s="97"/>
      <c r="S311" s="97"/>
      <c r="W311" s="97"/>
      <c r="X311" s="97"/>
    </row>
    <row r="312" spans="10:24" ht="15.75" customHeight="1">
      <c r="J312" s="97"/>
      <c r="L312" s="97"/>
      <c r="O312" s="97"/>
      <c r="Q312" s="97"/>
      <c r="S312" s="97"/>
      <c r="W312" s="97"/>
      <c r="X312" s="97"/>
    </row>
    <row r="313" spans="10:24" ht="15.75" customHeight="1">
      <c r="J313" s="97"/>
      <c r="L313" s="97"/>
      <c r="O313" s="97"/>
      <c r="Q313" s="97"/>
      <c r="S313" s="97"/>
      <c r="W313" s="97"/>
      <c r="X313" s="97"/>
    </row>
    <row r="314" spans="10:24" ht="15.75" customHeight="1">
      <c r="J314" s="97"/>
      <c r="L314" s="97"/>
      <c r="O314" s="97"/>
      <c r="Q314" s="97"/>
      <c r="S314" s="97"/>
      <c r="W314" s="97"/>
      <c r="X314" s="97"/>
    </row>
    <row r="315" spans="10:24" ht="15.75" customHeight="1">
      <c r="J315" s="97"/>
      <c r="L315" s="97"/>
      <c r="O315" s="97"/>
      <c r="Q315" s="97"/>
      <c r="S315" s="97"/>
      <c r="W315" s="97"/>
      <c r="X315" s="97"/>
    </row>
    <row r="316" spans="10:24" ht="15.75" customHeight="1">
      <c r="J316" s="97"/>
      <c r="L316" s="97"/>
      <c r="O316" s="97"/>
      <c r="Q316" s="97"/>
      <c r="S316" s="97"/>
      <c r="W316" s="97"/>
      <c r="X316" s="97"/>
    </row>
    <row r="317" spans="10:24" ht="15.75" customHeight="1">
      <c r="J317" s="97"/>
      <c r="L317" s="97"/>
      <c r="O317" s="97"/>
      <c r="Q317" s="97"/>
      <c r="S317" s="97"/>
      <c r="W317" s="97"/>
      <c r="X317" s="97"/>
    </row>
    <row r="318" spans="10:24" ht="15.75" customHeight="1">
      <c r="J318" s="97"/>
      <c r="L318" s="97"/>
      <c r="O318" s="97"/>
      <c r="Q318" s="97"/>
      <c r="S318" s="97"/>
      <c r="W318" s="97"/>
      <c r="X318" s="97"/>
    </row>
    <row r="319" spans="10:24" ht="15.75" customHeight="1">
      <c r="J319" s="97"/>
      <c r="L319" s="97"/>
      <c r="O319" s="97"/>
      <c r="Q319" s="97"/>
      <c r="S319" s="97"/>
      <c r="W319" s="97"/>
      <c r="X319" s="97"/>
    </row>
    <row r="320" spans="10:24" ht="15.75" customHeight="1">
      <c r="J320" s="97"/>
      <c r="L320" s="97"/>
      <c r="O320" s="97"/>
      <c r="Q320" s="97"/>
      <c r="S320" s="97"/>
      <c r="W320" s="97"/>
      <c r="X320" s="97"/>
    </row>
    <row r="321" spans="9:24" ht="15.75" customHeight="1"/>
    <row r="322" spans="9:24" ht="15.75" customHeight="1">
      <c r="I322" s="98"/>
      <c r="K322" s="98"/>
      <c r="M322" s="98"/>
      <c r="N322" s="98"/>
      <c r="P322" s="98"/>
      <c r="R322" s="98"/>
      <c r="T322" s="98"/>
    </row>
    <row r="323" spans="9:24" ht="15.75" customHeight="1"/>
    <row r="324" spans="9:24" ht="15.75" customHeight="1"/>
    <row r="325" spans="9:24" ht="15.75" customHeight="1"/>
    <row r="326" spans="9:24" ht="15.75" customHeight="1"/>
    <row r="327" spans="9:24" ht="15.75" customHeight="1">
      <c r="J327" s="97"/>
      <c r="L327" s="97"/>
      <c r="O327" s="97"/>
      <c r="Q327" s="97"/>
      <c r="S327" s="97"/>
      <c r="W327" s="97"/>
      <c r="X327" s="97"/>
    </row>
    <row r="328" spans="9:24" ht="15.75" customHeight="1">
      <c r="J328" s="97"/>
      <c r="L328" s="97"/>
      <c r="O328" s="97"/>
      <c r="Q328" s="97"/>
      <c r="S328" s="97"/>
      <c r="W328" s="97"/>
      <c r="X328" s="97"/>
    </row>
    <row r="329" spans="9:24" ht="15.75" customHeight="1">
      <c r="J329" s="97"/>
      <c r="L329" s="97"/>
      <c r="O329" s="97"/>
      <c r="Q329" s="97"/>
      <c r="S329" s="97"/>
      <c r="W329" s="97"/>
      <c r="X329" s="97"/>
    </row>
    <row r="330" spans="9:24" ht="15.75" customHeight="1">
      <c r="J330" s="97"/>
      <c r="L330" s="97"/>
      <c r="O330" s="97"/>
      <c r="Q330" s="97"/>
      <c r="S330" s="97"/>
      <c r="W330" s="97"/>
      <c r="X330" s="97"/>
    </row>
    <row r="331" spans="9:24" ht="15.75" customHeight="1">
      <c r="J331" s="97"/>
      <c r="L331" s="97"/>
      <c r="O331" s="97"/>
      <c r="Q331" s="97"/>
      <c r="S331" s="97"/>
      <c r="W331" s="97"/>
      <c r="X331" s="97"/>
    </row>
    <row r="332" spans="9:24" ht="15.75" customHeight="1">
      <c r="J332" s="97"/>
      <c r="L332" s="97"/>
      <c r="O332" s="97"/>
      <c r="Q332" s="97"/>
      <c r="S332" s="97"/>
      <c r="W332" s="97"/>
      <c r="X332" s="97"/>
    </row>
    <row r="334" spans="9:24" ht="16.5">
      <c r="I334" s="98"/>
      <c r="K334" s="98"/>
      <c r="M334" s="98"/>
      <c r="N334" s="98"/>
      <c r="P334" s="98"/>
      <c r="R334" s="98"/>
      <c r="T334" s="98"/>
    </row>
    <row r="335" spans="9:24" ht="16.5">
      <c r="I335" s="98"/>
      <c r="K335" s="98"/>
      <c r="M335" s="98"/>
      <c r="N335" s="98"/>
      <c r="P335" s="98"/>
      <c r="R335" s="98"/>
      <c r="T335" s="98"/>
    </row>
    <row r="339" spans="9:24">
      <c r="J339" s="97"/>
      <c r="L339" s="97"/>
      <c r="O339" s="97"/>
      <c r="Q339" s="97"/>
      <c r="S339" s="97"/>
      <c r="W339" s="97"/>
      <c r="X339" s="97"/>
    </row>
    <row r="340" spans="9:24">
      <c r="J340" s="97"/>
      <c r="L340" s="97"/>
      <c r="O340" s="97"/>
      <c r="Q340" s="97"/>
      <c r="S340" s="97"/>
      <c r="W340" s="97"/>
      <c r="X340" s="97"/>
    </row>
    <row r="341" spans="9:24">
      <c r="J341" s="97"/>
      <c r="L341" s="97"/>
      <c r="O341" s="97"/>
      <c r="Q341" s="97"/>
      <c r="S341" s="97"/>
      <c r="W341" s="97"/>
      <c r="X341" s="97"/>
    </row>
    <row r="342" spans="9:24">
      <c r="J342" s="97"/>
      <c r="L342" s="97"/>
      <c r="O342" s="97"/>
      <c r="Q342" s="97"/>
      <c r="S342" s="97"/>
      <c r="W342" s="97"/>
      <c r="X342" s="97"/>
    </row>
    <row r="343" spans="9:24">
      <c r="J343" s="97"/>
      <c r="L343" s="97"/>
      <c r="O343" s="97"/>
      <c r="Q343" s="97"/>
      <c r="S343" s="97"/>
      <c r="W343" s="97"/>
      <c r="X343" s="97"/>
    </row>
    <row r="344" spans="9:24">
      <c r="J344" s="97"/>
      <c r="L344" s="97"/>
      <c r="O344" s="97"/>
      <c r="Q344" s="97"/>
      <c r="S344" s="97"/>
      <c r="W344" s="97"/>
      <c r="X344" s="97"/>
    </row>
    <row r="346" spans="9:24" ht="16.5">
      <c r="I346" s="98"/>
      <c r="K346" s="98"/>
      <c r="M346" s="98"/>
      <c r="N346" s="98"/>
      <c r="P346" s="98"/>
      <c r="R346" s="98"/>
      <c r="T346" s="98"/>
    </row>
    <row r="356" spans="10:24">
      <c r="J356" s="97"/>
      <c r="L356" s="97"/>
      <c r="O356" s="97"/>
      <c r="Q356" s="97"/>
      <c r="S356" s="97"/>
      <c r="W356" s="97"/>
      <c r="X356" s="97"/>
    </row>
    <row r="357" spans="10:24">
      <c r="J357" s="97"/>
      <c r="L357" s="97"/>
      <c r="O357" s="97"/>
      <c r="Q357" s="97"/>
      <c r="S357" s="97"/>
      <c r="W357" s="97"/>
      <c r="X357" s="97"/>
    </row>
    <row r="358" spans="10:24">
      <c r="J358" s="97"/>
      <c r="L358" s="97"/>
      <c r="O358" s="97"/>
      <c r="Q358" s="97"/>
      <c r="S358" s="97"/>
      <c r="W358" s="97"/>
      <c r="X358" s="97"/>
    </row>
    <row r="359" spans="10:24">
      <c r="J359" s="97"/>
      <c r="L359" s="97"/>
      <c r="O359" s="97"/>
      <c r="Q359" s="97"/>
      <c r="S359" s="97"/>
      <c r="W359" s="97"/>
      <c r="X359" s="97"/>
    </row>
    <row r="360" spans="10:24">
      <c r="J360" s="97"/>
      <c r="L360" s="97"/>
      <c r="O360" s="97"/>
      <c r="Q360" s="97"/>
      <c r="S360" s="97"/>
      <c r="W360" s="97"/>
      <c r="X360" s="97"/>
    </row>
    <row r="361" spans="10:24">
      <c r="J361" s="97"/>
      <c r="L361" s="97"/>
      <c r="O361" s="97"/>
      <c r="Q361" s="97"/>
      <c r="S361" s="97"/>
      <c r="W361" s="97"/>
      <c r="X361" s="97"/>
    </row>
    <row r="362" spans="10:24">
      <c r="J362" s="97"/>
      <c r="L362" s="97"/>
      <c r="O362" s="97"/>
      <c r="Q362" s="97"/>
      <c r="S362" s="97"/>
      <c r="W362" s="97"/>
      <c r="X362" s="97"/>
    </row>
    <row r="363" spans="10:24">
      <c r="J363" s="97"/>
      <c r="L363" s="97"/>
      <c r="O363" s="97"/>
      <c r="Q363" s="97"/>
      <c r="S363" s="97"/>
      <c r="W363" s="97"/>
      <c r="X363" s="97"/>
    </row>
    <row r="364" spans="10:24">
      <c r="J364" s="97"/>
      <c r="L364" s="97"/>
      <c r="O364" s="97"/>
      <c r="Q364" s="97"/>
      <c r="S364" s="97"/>
      <c r="W364" s="97"/>
      <c r="X364" s="97"/>
    </row>
    <row r="365" spans="10:24">
      <c r="J365" s="97"/>
      <c r="L365" s="97"/>
      <c r="O365" s="97"/>
      <c r="Q365" s="97"/>
      <c r="S365" s="97"/>
      <c r="W365" s="97"/>
      <c r="X365" s="97"/>
    </row>
    <row r="366" spans="10:24">
      <c r="J366" s="97"/>
      <c r="L366" s="97"/>
      <c r="O366" s="97"/>
      <c r="Q366" s="97"/>
      <c r="S366" s="97"/>
      <c r="W366" s="97"/>
      <c r="X366" s="97"/>
    </row>
    <row r="367" spans="10:24">
      <c r="J367" s="97"/>
      <c r="L367" s="97"/>
      <c r="O367" s="97"/>
      <c r="Q367" s="97"/>
      <c r="S367" s="97"/>
      <c r="W367" s="97"/>
      <c r="X367" s="97"/>
    </row>
    <row r="368" spans="10:24">
      <c r="J368" s="97"/>
      <c r="L368" s="97"/>
      <c r="O368" s="97"/>
      <c r="Q368" s="97"/>
      <c r="S368" s="97"/>
      <c r="W368" s="97"/>
      <c r="X368" s="97"/>
    </row>
    <row r="369" spans="9:24">
      <c r="J369" s="97"/>
      <c r="L369" s="97"/>
      <c r="O369" s="97"/>
      <c r="Q369" s="97"/>
      <c r="S369" s="97"/>
      <c r="W369" s="97"/>
      <c r="X369" s="97"/>
    </row>
    <row r="370" spans="9:24">
      <c r="J370" s="97"/>
      <c r="L370" s="97"/>
      <c r="O370" s="97"/>
      <c r="Q370" s="97"/>
      <c r="S370" s="97"/>
      <c r="W370" s="97"/>
      <c r="X370" s="97"/>
    </row>
    <row r="371" spans="9:24">
      <c r="J371" s="97"/>
      <c r="L371" s="97"/>
      <c r="O371" s="97"/>
      <c r="Q371" s="97"/>
      <c r="S371" s="97"/>
      <c r="W371" s="97"/>
      <c r="X371" s="97"/>
    </row>
    <row r="372" spans="9:24">
      <c r="J372" s="97"/>
      <c r="L372" s="97"/>
      <c r="O372" s="97"/>
      <c r="Q372" s="97"/>
      <c r="S372" s="97"/>
      <c r="W372" s="97"/>
      <c r="X372" s="97"/>
    </row>
    <row r="373" spans="9:24">
      <c r="J373" s="97"/>
      <c r="L373" s="97"/>
      <c r="O373" s="97"/>
      <c r="Q373" s="97"/>
      <c r="S373" s="97"/>
      <c r="W373" s="97"/>
      <c r="X373" s="97"/>
    </row>
    <row r="375" spans="9:24" ht="16.5">
      <c r="I375" s="98"/>
      <c r="K375" s="98"/>
      <c r="M375" s="98"/>
      <c r="N375" s="98"/>
      <c r="P375" s="98"/>
      <c r="R375" s="98"/>
      <c r="T375" s="98"/>
    </row>
    <row r="376" spans="9:24" ht="16.5">
      <c r="I376" s="98"/>
      <c r="K376" s="98"/>
      <c r="M376" s="98"/>
      <c r="N376" s="98"/>
      <c r="P376" s="98"/>
      <c r="R376" s="98"/>
      <c r="T376" s="98"/>
    </row>
    <row r="377" spans="9:24" ht="16.5">
      <c r="I377" s="98"/>
      <c r="K377" s="98"/>
      <c r="M377" s="98"/>
      <c r="N377" s="98"/>
      <c r="P377" s="98"/>
      <c r="R377" s="98"/>
      <c r="T377" s="98"/>
    </row>
    <row r="380" spans="9:24">
      <c r="J380" s="97"/>
      <c r="L380" s="97"/>
      <c r="O380" s="97"/>
      <c r="Q380" s="97"/>
      <c r="S380" s="97"/>
      <c r="W380" s="97"/>
      <c r="X380" s="97"/>
    </row>
    <row r="381" spans="9:24">
      <c r="J381" s="97"/>
      <c r="L381" s="97"/>
      <c r="O381" s="97"/>
      <c r="Q381" s="97"/>
      <c r="S381" s="97"/>
      <c r="W381" s="97"/>
      <c r="X381" s="97"/>
    </row>
    <row r="382" spans="9:24">
      <c r="J382" s="97"/>
      <c r="L382" s="97"/>
      <c r="O382" s="97"/>
      <c r="Q382" s="97"/>
      <c r="S382" s="97"/>
      <c r="W382" s="97"/>
      <c r="X382" s="97"/>
    </row>
    <row r="383" spans="9:24">
      <c r="J383" s="97"/>
      <c r="L383" s="97"/>
      <c r="O383" s="97"/>
      <c r="Q383" s="97"/>
      <c r="S383" s="97"/>
      <c r="W383" s="97"/>
      <c r="X383" s="97"/>
    </row>
    <row r="384" spans="9:24">
      <c r="J384" s="97"/>
      <c r="L384" s="97"/>
      <c r="O384" s="97"/>
      <c r="Q384" s="97"/>
      <c r="S384" s="97"/>
      <c r="W384" s="97"/>
      <c r="X384" s="97"/>
    </row>
    <row r="385" spans="10:24">
      <c r="J385" s="97"/>
      <c r="L385" s="97"/>
      <c r="O385" s="97"/>
      <c r="Q385" s="97"/>
      <c r="S385" s="97"/>
      <c r="W385" s="97"/>
      <c r="X385" s="97"/>
    </row>
    <row r="386" spans="10:24">
      <c r="J386" s="97"/>
      <c r="L386" s="97"/>
      <c r="O386" s="97"/>
      <c r="Q386" s="97"/>
      <c r="S386" s="97"/>
      <c r="W386" s="97"/>
      <c r="X386" s="97"/>
    </row>
    <row r="387" spans="10:24">
      <c r="J387" s="97"/>
      <c r="L387" s="97"/>
      <c r="O387" s="97"/>
      <c r="Q387" s="97"/>
      <c r="S387" s="97"/>
      <c r="W387" s="97"/>
      <c r="X387" s="97"/>
    </row>
    <row r="388" spans="10:24">
      <c r="J388" s="97"/>
      <c r="L388" s="97"/>
      <c r="O388" s="97"/>
      <c r="Q388" s="97"/>
      <c r="S388" s="97"/>
      <c r="W388" s="97"/>
      <c r="X388" s="97"/>
    </row>
    <row r="389" spans="10:24">
      <c r="J389" s="97"/>
      <c r="L389" s="97"/>
      <c r="O389" s="97"/>
      <c r="Q389" s="97"/>
      <c r="S389" s="97"/>
      <c r="W389" s="97"/>
      <c r="X389" s="97"/>
    </row>
    <row r="390" spans="10:24">
      <c r="J390" s="97"/>
      <c r="L390" s="97"/>
      <c r="O390" s="97"/>
      <c r="Q390" s="97"/>
      <c r="S390" s="97"/>
      <c r="W390" s="97"/>
      <c r="X390" s="97"/>
    </row>
    <row r="391" spans="10:24">
      <c r="J391" s="97"/>
      <c r="L391" s="97"/>
      <c r="O391" s="97"/>
      <c r="Q391" s="97"/>
      <c r="S391" s="97"/>
      <c r="W391" s="97"/>
      <c r="X391" s="97"/>
    </row>
    <row r="392" spans="10:24">
      <c r="J392" s="97"/>
      <c r="L392" s="97"/>
      <c r="O392" s="97"/>
      <c r="Q392" s="97"/>
      <c r="S392" s="97"/>
      <c r="W392" s="97"/>
      <c r="X392" s="97"/>
    </row>
    <row r="393" spans="10:24">
      <c r="J393" s="97"/>
      <c r="L393" s="97"/>
      <c r="O393" s="97"/>
      <c r="Q393" s="97"/>
      <c r="S393" s="97"/>
      <c r="W393" s="97"/>
      <c r="X393" s="97"/>
    </row>
    <row r="394" spans="10:24">
      <c r="J394" s="97"/>
      <c r="L394" s="97"/>
      <c r="O394" s="97"/>
      <c r="Q394" s="97"/>
      <c r="S394" s="97"/>
      <c r="W394" s="97"/>
      <c r="X394" s="97"/>
    </row>
    <row r="395" spans="10:24">
      <c r="J395" s="97"/>
      <c r="L395" s="97"/>
      <c r="O395" s="97"/>
      <c r="Q395" s="97"/>
      <c r="S395" s="97"/>
      <c r="W395" s="97"/>
      <c r="X395" s="97"/>
    </row>
    <row r="396" spans="10:24">
      <c r="J396" s="97"/>
      <c r="L396" s="97"/>
      <c r="O396" s="97"/>
      <c r="Q396" s="97"/>
      <c r="S396" s="97"/>
      <c r="W396" s="97"/>
      <c r="X396" s="97"/>
    </row>
    <row r="397" spans="10:24">
      <c r="J397" s="97"/>
      <c r="L397" s="97"/>
      <c r="O397" s="97"/>
      <c r="Q397" s="97"/>
      <c r="S397" s="97"/>
      <c r="W397" s="97"/>
      <c r="X397" s="97"/>
    </row>
    <row r="398" spans="10:24">
      <c r="J398" s="97"/>
      <c r="L398" s="97"/>
      <c r="O398" s="97"/>
      <c r="Q398" s="97"/>
      <c r="S398" s="97"/>
      <c r="W398" s="97"/>
      <c r="X398" s="97"/>
    </row>
    <row r="399" spans="10:24">
      <c r="J399" s="97"/>
      <c r="L399" s="97"/>
      <c r="O399" s="97"/>
      <c r="Q399" s="97"/>
      <c r="S399" s="97"/>
      <c r="W399" s="97"/>
      <c r="X399" s="97"/>
    </row>
    <row r="400" spans="10:24">
      <c r="J400" s="97"/>
      <c r="L400" s="97"/>
      <c r="O400" s="97"/>
      <c r="Q400" s="97"/>
      <c r="S400" s="97"/>
      <c r="W400" s="97"/>
      <c r="X400" s="97"/>
    </row>
    <row r="401" spans="9:24">
      <c r="J401" s="97"/>
      <c r="L401" s="97"/>
      <c r="O401" s="97"/>
      <c r="Q401" s="97"/>
      <c r="S401" s="97"/>
      <c r="W401" s="97"/>
      <c r="X401" s="97"/>
    </row>
    <row r="403" spans="9:24" ht="16.5">
      <c r="I403" s="98"/>
      <c r="K403" s="98"/>
      <c r="M403" s="98"/>
      <c r="N403" s="98"/>
      <c r="P403" s="98"/>
      <c r="R403" s="98"/>
      <c r="T403" s="98"/>
    </row>
    <row r="414" spans="9:24">
      <c r="J414" s="97"/>
      <c r="L414" s="97"/>
      <c r="O414" s="97"/>
      <c r="Q414" s="97"/>
      <c r="S414" s="97"/>
      <c r="W414" s="97"/>
      <c r="X414" s="97"/>
    </row>
    <row r="415" spans="9:24">
      <c r="J415" s="97"/>
      <c r="L415" s="97"/>
      <c r="O415" s="97"/>
      <c r="Q415" s="97"/>
      <c r="S415" s="97"/>
      <c r="W415" s="97"/>
      <c r="X415" s="97"/>
    </row>
    <row r="416" spans="9:24">
      <c r="J416" s="97"/>
      <c r="L416" s="97"/>
      <c r="O416" s="97"/>
      <c r="Q416" s="97"/>
      <c r="S416" s="97"/>
      <c r="W416" s="97"/>
      <c r="X416" s="97"/>
    </row>
    <row r="417" spans="9:24">
      <c r="J417" s="97"/>
      <c r="L417" s="97"/>
      <c r="O417" s="97"/>
      <c r="Q417" s="97"/>
      <c r="S417" s="97"/>
      <c r="W417" s="97"/>
      <c r="X417" s="97"/>
    </row>
    <row r="418" spans="9:24">
      <c r="J418" s="97"/>
      <c r="L418" s="97"/>
      <c r="O418" s="97"/>
      <c r="Q418" s="97"/>
      <c r="S418" s="97"/>
      <c r="W418" s="97"/>
      <c r="X418" s="97"/>
    </row>
    <row r="419" spans="9:24">
      <c r="J419" s="97"/>
      <c r="L419" s="97"/>
      <c r="O419" s="97"/>
      <c r="Q419" s="97"/>
      <c r="S419" s="97"/>
      <c r="W419" s="97"/>
      <c r="X419" s="97"/>
    </row>
    <row r="420" spans="9:24">
      <c r="J420" s="97"/>
      <c r="L420" s="97"/>
      <c r="O420" s="97"/>
      <c r="Q420" s="97"/>
      <c r="S420" s="97"/>
      <c r="W420" s="97"/>
      <c r="X420" s="97"/>
    </row>
    <row r="421" spans="9:24">
      <c r="J421" s="97"/>
      <c r="L421" s="97"/>
      <c r="O421" s="97"/>
      <c r="Q421" s="97"/>
      <c r="S421" s="97"/>
      <c r="W421" s="97"/>
      <c r="X421" s="97"/>
    </row>
    <row r="422" spans="9:24">
      <c r="J422" s="97"/>
      <c r="L422" s="97"/>
      <c r="O422" s="97"/>
      <c r="Q422" s="97"/>
      <c r="S422" s="97"/>
      <c r="W422" s="97"/>
      <c r="X422" s="97"/>
    </row>
    <row r="423" spans="9:24">
      <c r="J423" s="97"/>
      <c r="L423" s="97"/>
      <c r="O423" s="97"/>
      <c r="Q423" s="97"/>
      <c r="S423" s="97"/>
      <c r="W423" s="97"/>
      <c r="X423" s="97"/>
    </row>
    <row r="424" spans="9:24">
      <c r="J424" s="97"/>
      <c r="L424" s="97"/>
      <c r="O424" s="97"/>
      <c r="Q424" s="97"/>
      <c r="S424" s="97"/>
      <c r="W424" s="97"/>
      <c r="X424" s="97"/>
    </row>
    <row r="425" spans="9:24">
      <c r="J425" s="97"/>
      <c r="L425" s="97"/>
      <c r="O425" s="97"/>
      <c r="Q425" s="97"/>
      <c r="S425" s="97"/>
      <c r="W425" s="97"/>
      <c r="X425" s="97"/>
    </row>
    <row r="426" spans="9:24">
      <c r="J426" s="97"/>
      <c r="L426" s="97"/>
      <c r="O426" s="97"/>
      <c r="Q426" s="97"/>
      <c r="S426" s="97"/>
      <c r="W426" s="97"/>
      <c r="X426" s="97"/>
    </row>
    <row r="427" spans="9:24">
      <c r="J427" s="97"/>
      <c r="L427" s="97"/>
      <c r="O427" s="97"/>
      <c r="Q427" s="97"/>
      <c r="S427" s="97"/>
      <c r="W427" s="97"/>
      <c r="X427" s="97"/>
    </row>
    <row r="429" spans="9:24" ht="16.5">
      <c r="I429" s="98"/>
      <c r="K429" s="98"/>
      <c r="M429" s="98"/>
      <c r="N429" s="98"/>
      <c r="P429" s="98"/>
      <c r="R429" s="98"/>
      <c r="T429" s="98"/>
    </row>
    <row r="434" spans="9:24">
      <c r="J434" s="97"/>
      <c r="L434" s="97"/>
      <c r="O434" s="97"/>
      <c r="Q434" s="97"/>
      <c r="S434" s="97"/>
      <c r="W434" s="97"/>
      <c r="X434" s="97"/>
    </row>
    <row r="435" spans="9:24">
      <c r="J435" s="97"/>
      <c r="L435" s="97"/>
      <c r="O435" s="97"/>
      <c r="Q435" s="97"/>
      <c r="S435" s="97"/>
      <c r="W435" s="97"/>
      <c r="X435" s="97"/>
    </row>
    <row r="436" spans="9:24">
      <c r="J436" s="97"/>
      <c r="L436" s="97"/>
      <c r="O436" s="97"/>
      <c r="Q436" s="97"/>
      <c r="S436" s="97"/>
      <c r="W436" s="97"/>
      <c r="X436" s="97"/>
    </row>
    <row r="437" spans="9:24">
      <c r="J437" s="97"/>
      <c r="L437" s="97"/>
      <c r="O437" s="97"/>
      <c r="Q437" s="97"/>
      <c r="S437" s="97"/>
      <c r="W437" s="97"/>
      <c r="X437" s="97"/>
    </row>
    <row r="438" spans="9:24">
      <c r="J438" s="97"/>
      <c r="L438" s="97"/>
      <c r="O438" s="97"/>
      <c r="Q438" s="97"/>
      <c r="S438" s="97"/>
      <c r="W438" s="97"/>
      <c r="X438" s="97"/>
    </row>
    <row r="439" spans="9:24">
      <c r="J439" s="97"/>
      <c r="L439" s="97"/>
      <c r="O439" s="97"/>
      <c r="Q439" s="97"/>
      <c r="S439" s="97"/>
      <c r="W439" s="97"/>
      <c r="X439" s="97"/>
    </row>
    <row r="440" spans="9:24">
      <c r="J440" s="97"/>
      <c r="L440" s="97"/>
      <c r="O440" s="97"/>
      <c r="Q440" s="97"/>
      <c r="S440" s="97"/>
      <c r="W440" s="97"/>
      <c r="X440" s="97"/>
    </row>
    <row r="441" spans="9:24">
      <c r="J441" s="97"/>
      <c r="L441" s="97"/>
      <c r="O441" s="97"/>
      <c r="Q441" s="97"/>
      <c r="S441" s="97"/>
      <c r="W441" s="97"/>
      <c r="X441" s="97"/>
    </row>
    <row r="442" spans="9:24">
      <c r="J442" s="97"/>
      <c r="L442" s="97"/>
      <c r="O442" s="97"/>
      <c r="Q442" s="97"/>
      <c r="S442" s="97"/>
      <c r="W442" s="97"/>
      <c r="X442" s="97"/>
    </row>
    <row r="444" spans="9:24" ht="16.5">
      <c r="I444" s="98"/>
      <c r="K444" s="98"/>
      <c r="M444" s="98"/>
      <c r="N444" s="98"/>
      <c r="P444" s="98"/>
      <c r="R444" s="98"/>
      <c r="T444" s="98"/>
    </row>
    <row r="449" spans="9:24">
      <c r="J449" s="97"/>
      <c r="L449" s="97"/>
      <c r="O449" s="97"/>
      <c r="Q449" s="97"/>
      <c r="S449" s="97"/>
      <c r="W449" s="97"/>
      <c r="X449" s="97"/>
    </row>
    <row r="450" spans="9:24">
      <c r="J450" s="97"/>
      <c r="L450" s="97"/>
      <c r="O450" s="97"/>
      <c r="Q450" s="97"/>
      <c r="S450" s="97"/>
      <c r="W450" s="97"/>
      <c r="X450" s="97"/>
    </row>
    <row r="451" spans="9:24">
      <c r="J451" s="97"/>
      <c r="L451" s="97"/>
      <c r="O451" s="97"/>
      <c r="Q451" s="97"/>
      <c r="S451" s="97"/>
      <c r="W451" s="97"/>
      <c r="X451" s="97"/>
    </row>
    <row r="452" spans="9:24">
      <c r="J452" s="97"/>
      <c r="L452" s="97"/>
      <c r="O452" s="97"/>
      <c r="Q452" s="97"/>
      <c r="S452" s="97"/>
      <c r="W452" s="97"/>
      <c r="X452" s="97"/>
    </row>
    <row r="454" spans="9:24" ht="16.5">
      <c r="I454" s="98"/>
      <c r="K454" s="98"/>
      <c r="M454" s="98"/>
      <c r="N454" s="98"/>
      <c r="P454" s="98"/>
      <c r="R454" s="98"/>
      <c r="T454" s="98"/>
    </row>
    <row r="472" spans="10:24">
      <c r="J472" s="97"/>
      <c r="L472" s="97"/>
      <c r="O472" s="97"/>
      <c r="Q472" s="97"/>
      <c r="S472" s="97"/>
      <c r="W472" s="97"/>
      <c r="X472" s="97"/>
    </row>
    <row r="473" spans="10:24">
      <c r="J473" s="97"/>
      <c r="L473" s="97"/>
      <c r="O473" s="97"/>
      <c r="Q473" s="97"/>
      <c r="S473" s="97"/>
      <c r="W473" s="97"/>
      <c r="X473" s="97"/>
    </row>
    <row r="474" spans="10:24">
      <c r="J474" s="97"/>
      <c r="L474" s="97"/>
      <c r="O474" s="97"/>
      <c r="Q474" s="97"/>
      <c r="S474" s="97"/>
      <c r="W474" s="97"/>
      <c r="X474" s="97"/>
    </row>
    <row r="475" spans="10:24">
      <c r="J475" s="97"/>
      <c r="L475" s="97"/>
      <c r="O475" s="97"/>
      <c r="Q475" s="97"/>
      <c r="S475" s="97"/>
      <c r="W475" s="97"/>
      <c r="X475" s="97"/>
    </row>
    <row r="476" spans="10:24">
      <c r="J476" s="97"/>
      <c r="L476" s="97"/>
      <c r="O476" s="97"/>
      <c r="Q476" s="97"/>
      <c r="S476" s="97"/>
      <c r="W476" s="97"/>
      <c r="X476" s="97"/>
    </row>
    <row r="477" spans="10:24">
      <c r="J477" s="97"/>
      <c r="L477" s="97"/>
      <c r="O477" s="97"/>
      <c r="Q477" s="97"/>
      <c r="S477" s="97"/>
      <c r="W477" s="97"/>
      <c r="X477" s="97"/>
    </row>
    <row r="478" spans="10:24">
      <c r="J478" s="97"/>
      <c r="L478" s="97"/>
      <c r="O478" s="97"/>
      <c r="Q478" s="97"/>
      <c r="S478" s="97"/>
      <c r="W478" s="97"/>
      <c r="X478" s="97"/>
    </row>
    <row r="479" spans="10:24">
      <c r="J479" s="97"/>
      <c r="L479" s="97"/>
      <c r="O479" s="97"/>
      <c r="Q479" s="97"/>
      <c r="S479" s="97"/>
      <c r="W479" s="97"/>
      <c r="X479" s="97"/>
    </row>
    <row r="480" spans="10:24">
      <c r="J480" s="97"/>
      <c r="L480" s="97"/>
      <c r="O480" s="97"/>
      <c r="Q480" s="97"/>
      <c r="S480" s="97"/>
      <c r="W480" s="97"/>
      <c r="X480" s="97"/>
    </row>
    <row r="481" spans="9:24">
      <c r="J481" s="97"/>
      <c r="L481" s="97"/>
      <c r="O481" s="97"/>
      <c r="Q481" s="97"/>
      <c r="S481" s="97"/>
      <c r="W481" s="97"/>
      <c r="X481" s="97"/>
    </row>
    <row r="482" spans="9:24">
      <c r="J482" s="97"/>
      <c r="L482" s="97"/>
      <c r="O482" s="97"/>
      <c r="Q482" s="97"/>
      <c r="S482" s="97"/>
      <c r="W482" s="97"/>
      <c r="X482" s="97"/>
    </row>
    <row r="483" spans="9:24">
      <c r="J483" s="97"/>
      <c r="L483" s="97"/>
      <c r="O483" s="97"/>
      <c r="Q483" s="97"/>
      <c r="S483" s="97"/>
      <c r="W483" s="97"/>
      <c r="X483" s="97"/>
    </row>
    <row r="485" spans="9:24" ht="16.5">
      <c r="I485" s="98"/>
      <c r="K485" s="98"/>
      <c r="M485" s="98"/>
      <c r="N485" s="98"/>
      <c r="P485" s="98"/>
      <c r="R485" s="98"/>
      <c r="T485" s="98"/>
    </row>
    <row r="490" spans="9:24">
      <c r="J490" s="97"/>
      <c r="L490" s="97"/>
      <c r="O490" s="97"/>
      <c r="Q490" s="97"/>
      <c r="S490" s="97"/>
      <c r="W490" s="97"/>
      <c r="X490" s="97"/>
    </row>
    <row r="492" spans="9:24" ht="16.5">
      <c r="I492" s="98"/>
      <c r="K492" s="98"/>
      <c r="M492" s="98"/>
      <c r="N492" s="98"/>
      <c r="P492" s="98"/>
      <c r="R492" s="98"/>
      <c r="T492" s="98"/>
    </row>
    <row r="497" spans="9:24">
      <c r="J497" s="97"/>
      <c r="L497" s="97"/>
      <c r="O497" s="97"/>
      <c r="Q497" s="97"/>
      <c r="S497" s="97"/>
      <c r="W497" s="97"/>
      <c r="X497" s="97"/>
    </row>
    <row r="498" spans="9:24">
      <c r="J498" s="97"/>
      <c r="L498" s="97"/>
      <c r="O498" s="97"/>
      <c r="Q498" s="97"/>
      <c r="S498" s="97"/>
      <c r="W498" s="97"/>
      <c r="X498" s="97"/>
    </row>
    <row r="499" spans="9:24">
      <c r="J499" s="97"/>
      <c r="L499" s="97"/>
      <c r="O499" s="97"/>
      <c r="Q499" s="97"/>
      <c r="S499" s="97"/>
      <c r="W499" s="97"/>
      <c r="X499" s="97"/>
    </row>
    <row r="500" spans="9:24">
      <c r="J500" s="97"/>
      <c r="L500" s="97"/>
      <c r="O500" s="97"/>
      <c r="Q500" s="97"/>
      <c r="S500" s="97"/>
      <c r="W500" s="97"/>
      <c r="X500" s="97"/>
    </row>
    <row r="501" spans="9:24">
      <c r="J501" s="97"/>
      <c r="L501" s="97"/>
      <c r="O501" s="97"/>
      <c r="Q501" s="97"/>
      <c r="S501" s="97"/>
      <c r="W501" s="97"/>
      <c r="X501" s="97"/>
    </row>
    <row r="503" spans="9:24" ht="16.5">
      <c r="I503" s="98"/>
      <c r="K503" s="98"/>
      <c r="M503" s="98"/>
      <c r="N503" s="98"/>
      <c r="P503" s="98"/>
      <c r="R503" s="98"/>
      <c r="T503" s="98"/>
    </row>
    <row r="508" spans="9:24">
      <c r="J508" s="97"/>
      <c r="L508" s="97"/>
      <c r="O508" s="97"/>
      <c r="Q508" s="97"/>
      <c r="S508" s="97"/>
      <c r="W508" s="97"/>
      <c r="X508" s="97"/>
    </row>
    <row r="509" spans="9:24">
      <c r="J509" s="97"/>
      <c r="L509" s="97"/>
      <c r="O509" s="97"/>
      <c r="Q509" s="97"/>
      <c r="S509" s="97"/>
      <c r="W509" s="97"/>
      <c r="X509" s="97"/>
    </row>
    <row r="511" spans="9:24" ht="16.5">
      <c r="I511" s="98"/>
      <c r="K511" s="98"/>
      <c r="M511" s="98"/>
      <c r="N511" s="98"/>
      <c r="P511" s="98"/>
      <c r="R511" s="98"/>
      <c r="T511" s="98"/>
    </row>
  </sheetData>
  <sortState ref="A272:Y273">
    <sortCondition ref="A272:A273"/>
  </sortState>
  <mergeCells count="14">
    <mergeCell ref="B256:C256"/>
    <mergeCell ref="A40:D40"/>
    <mergeCell ref="A36:D36"/>
    <mergeCell ref="A32:D32"/>
    <mergeCell ref="B46:C46"/>
    <mergeCell ref="A58:D58"/>
    <mergeCell ref="A7:C7"/>
    <mergeCell ref="B8:C8"/>
    <mergeCell ref="B20:C20"/>
    <mergeCell ref="A1:Z1"/>
    <mergeCell ref="Y5:Z5"/>
    <mergeCell ref="T5:V5"/>
    <mergeCell ref="A3:Z3"/>
    <mergeCell ref="A2:Z2"/>
  </mergeCells>
  <phoneticPr fontId="0" type="noConversion"/>
  <printOptions horizontalCentered="1"/>
  <pageMargins left="0.7" right="0.7" top="0.75" bottom="0.75" header="0.3" footer="0.3"/>
  <pageSetup scale="55" fitToHeight="0" orientation="portrait" useFirstPageNumber="1" r:id="rId1"/>
  <headerFooter alignWithMargins="0"/>
  <rowBreaks count="3" manualBreakCount="3">
    <brk id="72" max="26" man="1"/>
    <brk id="150" max="26" man="1"/>
    <brk id="219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117"/>
  <sheetViews>
    <sheetView topLeftCell="A28" zoomScaleNormal="100" zoomScaleSheetLayoutView="75" zoomScalePageLayoutView="85" workbookViewId="0">
      <selection activeCell="A18" sqref="A18:N27"/>
    </sheetView>
  </sheetViews>
  <sheetFormatPr defaultColWidth="9.140625" defaultRowHeight="16.5"/>
  <cols>
    <col min="1" max="1" width="13.7109375" style="142" customWidth="1"/>
    <col min="2" max="2" width="2.7109375" style="142" customWidth="1"/>
    <col min="3" max="3" width="50.7109375" style="142" customWidth="1"/>
    <col min="4" max="5" width="16.7109375" style="149" hidden="1" customWidth="1"/>
    <col min="6" max="6" width="14.28515625" style="149" hidden="1" customWidth="1"/>
    <col min="7" max="9" width="22.7109375" style="149" hidden="1" customWidth="1"/>
    <col min="10" max="10" width="20.140625" style="149" bestFit="1" customWidth="1"/>
    <col min="11" max="11" width="15.85546875" style="149" customWidth="1"/>
    <col min="12" max="12" width="15.85546875" style="149" hidden="1" customWidth="1"/>
    <col min="13" max="13" width="15.85546875" style="149" customWidth="1"/>
    <col min="14" max="14" width="18.5703125" style="149" customWidth="1"/>
    <col min="15" max="15" width="18" style="142" hidden="1" customWidth="1"/>
    <col min="16" max="16384" width="9.140625" style="142"/>
  </cols>
  <sheetData>
    <row r="1" spans="1:22" ht="18.75">
      <c r="A1" s="421" t="s">
        <v>48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</row>
    <row r="2" spans="1:22" ht="18.75">
      <c r="A2" s="421" t="s">
        <v>1333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</row>
    <row r="3" spans="1:22" ht="18.75">
      <c r="A3" s="421" t="s">
        <v>1513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89"/>
      <c r="Q3" s="89"/>
      <c r="R3" s="89"/>
      <c r="S3" s="90"/>
      <c r="T3" s="143"/>
      <c r="U3" s="143"/>
      <c r="V3" s="144"/>
    </row>
    <row r="4" spans="1:22" ht="17.25" thickBot="1">
      <c r="A4" s="161"/>
      <c r="B4" s="161"/>
      <c r="C4" s="208"/>
      <c r="D4" s="208"/>
      <c r="E4" s="208"/>
      <c r="F4" s="208"/>
      <c r="G4" s="209"/>
      <c r="H4" s="209"/>
      <c r="I4" s="209"/>
      <c r="J4" s="208"/>
      <c r="K4" s="208"/>
      <c r="L4" s="208"/>
      <c r="M4" s="208"/>
      <c r="N4" s="208"/>
      <c r="O4" s="154"/>
    </row>
    <row r="5" spans="1:22" ht="18" thickTop="1" thickBot="1">
      <c r="A5" s="161"/>
      <c r="B5" s="161"/>
      <c r="C5" s="161"/>
      <c r="D5" s="210" t="s">
        <v>19</v>
      </c>
      <c r="E5" s="210" t="s">
        <v>147</v>
      </c>
      <c r="F5" s="210" t="s">
        <v>460</v>
      </c>
      <c r="G5" s="176" t="s">
        <v>618</v>
      </c>
      <c r="H5" s="176" t="s">
        <v>619</v>
      </c>
      <c r="I5" s="176" t="s">
        <v>705</v>
      </c>
      <c r="J5" s="211" t="s">
        <v>1385</v>
      </c>
      <c r="K5" s="429" t="s">
        <v>1415</v>
      </c>
      <c r="L5" s="429"/>
      <c r="M5" s="429"/>
      <c r="N5" s="426" t="s">
        <v>1515</v>
      </c>
      <c r="O5" s="426"/>
    </row>
    <row r="6" spans="1:22" ht="21.75" thickTop="1" thickBot="1">
      <c r="A6" s="161"/>
      <c r="B6" s="161"/>
      <c r="C6" s="161"/>
      <c r="D6" s="212" t="s">
        <v>354</v>
      </c>
      <c r="E6" s="212" t="s">
        <v>459</v>
      </c>
      <c r="F6" s="212" t="s">
        <v>459</v>
      </c>
      <c r="G6" s="213" t="s">
        <v>354</v>
      </c>
      <c r="H6" s="213" t="s">
        <v>354</v>
      </c>
      <c r="I6" s="213" t="s">
        <v>354</v>
      </c>
      <c r="J6" s="214" t="s">
        <v>354</v>
      </c>
      <c r="K6" s="214" t="s">
        <v>459</v>
      </c>
      <c r="L6" s="214" t="s">
        <v>1182</v>
      </c>
      <c r="M6" s="214" t="s">
        <v>722</v>
      </c>
      <c r="N6" s="214" t="s">
        <v>1242</v>
      </c>
      <c r="O6" s="214" t="s">
        <v>725</v>
      </c>
    </row>
    <row r="7" spans="1:22" ht="17.25" thickTop="1">
      <c r="A7" s="93"/>
      <c r="B7" s="93"/>
      <c r="C7" s="41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3"/>
    </row>
    <row r="8" spans="1:22">
      <c r="A8" s="161"/>
      <c r="B8" s="428" t="s">
        <v>1384</v>
      </c>
      <c r="C8" s="428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1"/>
    </row>
    <row r="9" spans="1:22">
      <c r="A9" s="161"/>
      <c r="B9" s="161"/>
      <c r="C9" s="161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1"/>
    </row>
    <row r="10" spans="1:22">
      <c r="A10" s="161" t="s">
        <v>1472</v>
      </c>
      <c r="B10" s="161"/>
      <c r="C10" s="161" t="s">
        <v>442</v>
      </c>
      <c r="D10" s="215">
        <v>109887.81</v>
      </c>
      <c r="E10" s="216">
        <v>102500</v>
      </c>
      <c r="F10" s="217">
        <v>94000</v>
      </c>
      <c r="G10" s="218">
        <v>124464</v>
      </c>
      <c r="H10" s="218">
        <v>129628.45</v>
      </c>
      <c r="I10" s="218">
        <v>115843.16</v>
      </c>
      <c r="J10" s="218">
        <v>542107.68000000005</v>
      </c>
      <c r="K10" s="218">
        <v>560000</v>
      </c>
      <c r="L10" s="218"/>
      <c r="M10" s="218">
        <v>560000</v>
      </c>
      <c r="N10" s="218">
        <v>580000</v>
      </c>
      <c r="O10" s="219">
        <f>(N10-K10)/K10</f>
        <v>3.5714285714285712E-2</v>
      </c>
    </row>
    <row r="11" spans="1:22">
      <c r="A11" s="161" t="s">
        <v>1473</v>
      </c>
      <c r="B11" s="161"/>
      <c r="C11" s="161" t="s">
        <v>362</v>
      </c>
      <c r="D11" s="220">
        <v>81.88</v>
      </c>
      <c r="E11" s="221">
        <v>0</v>
      </c>
      <c r="F11" s="222">
        <v>11500</v>
      </c>
      <c r="G11" s="165">
        <v>3773</v>
      </c>
      <c r="H11" s="165">
        <v>1619.77</v>
      </c>
      <c r="I11" s="165">
        <v>1758.18</v>
      </c>
      <c r="J11" s="165">
        <v>1860.02</v>
      </c>
      <c r="K11" s="165">
        <v>1200</v>
      </c>
      <c r="L11" s="165"/>
      <c r="M11" s="165">
        <v>12000</v>
      </c>
      <c r="N11" s="165">
        <v>10000</v>
      </c>
      <c r="O11" s="219">
        <f>(N11-K11)/K11</f>
        <v>7.333333333333333</v>
      </c>
    </row>
    <row r="12" spans="1:22">
      <c r="A12" s="161" t="s">
        <v>1437</v>
      </c>
      <c r="B12" s="161"/>
      <c r="C12" s="161" t="s">
        <v>1402</v>
      </c>
      <c r="D12" s="178"/>
      <c r="E12" s="178"/>
      <c r="F12" s="178">
        <v>1050</v>
      </c>
      <c r="G12" s="178"/>
      <c r="H12" s="178"/>
      <c r="I12" s="178"/>
      <c r="J12" s="178">
        <v>0</v>
      </c>
      <c r="K12" s="178">
        <v>0</v>
      </c>
      <c r="L12" s="178">
        <v>0</v>
      </c>
      <c r="M12" s="178">
        <v>0</v>
      </c>
      <c r="N12" s="178">
        <v>0</v>
      </c>
      <c r="O12" s="219"/>
    </row>
    <row r="13" spans="1:22">
      <c r="A13" s="161"/>
      <c r="B13" s="177" t="s">
        <v>486</v>
      </c>
      <c r="C13" s="154"/>
      <c r="D13" s="223">
        <f>SUM(D10:D11)</f>
        <v>109969.69</v>
      </c>
      <c r="E13" s="223">
        <f>SUM(E10:E12)</f>
        <v>102500</v>
      </c>
      <c r="F13" s="223">
        <f>SUM(F10:F11)</f>
        <v>105500</v>
      </c>
      <c r="G13" s="223">
        <f t="shared" ref="G13:L13" si="0">SUM(G10:G12)</f>
        <v>128237</v>
      </c>
      <c r="H13" s="223">
        <f t="shared" si="0"/>
        <v>131248.22</v>
      </c>
      <c r="I13" s="223">
        <f t="shared" si="0"/>
        <v>117601.34</v>
      </c>
      <c r="J13" s="203">
        <f>SUM(J10:J12)</f>
        <v>543967.70000000007</v>
      </c>
      <c r="K13" s="203">
        <f>SUM(K10:K12)</f>
        <v>561200</v>
      </c>
      <c r="L13" s="203">
        <f t="shared" si="0"/>
        <v>0</v>
      </c>
      <c r="M13" s="203">
        <f>SUM(M10:M12)</f>
        <v>572000</v>
      </c>
      <c r="N13" s="203">
        <f>SUM(N10:N12)</f>
        <v>590000</v>
      </c>
      <c r="O13" s="203">
        <f>(N13-K13)/K13</f>
        <v>5.1318602993585177E-2</v>
      </c>
    </row>
    <row r="14" spans="1:22">
      <c r="A14" s="93"/>
      <c r="B14" s="93"/>
      <c r="C14" s="93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93"/>
    </row>
    <row r="15" spans="1:22">
      <c r="A15" s="93"/>
      <c r="B15" s="93"/>
      <c r="C15" s="93"/>
      <c r="D15" s="146"/>
      <c r="E15" s="146"/>
      <c r="F15" s="146"/>
      <c r="G15" s="101"/>
      <c r="H15" s="101"/>
      <c r="I15" s="101"/>
      <c r="J15" s="101"/>
      <c r="K15" s="101"/>
      <c r="L15" s="101"/>
      <c r="M15" s="101"/>
      <c r="N15" s="101"/>
      <c r="O15" s="93"/>
    </row>
    <row r="16" spans="1:22">
      <c r="A16" s="93"/>
      <c r="B16" s="93"/>
      <c r="C16" s="93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93"/>
    </row>
    <row r="17" spans="1:15">
      <c r="A17" s="161"/>
      <c r="B17" s="428" t="s">
        <v>141</v>
      </c>
      <c r="C17" s="42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61"/>
    </row>
    <row r="18" spans="1:15">
      <c r="A18" s="161" t="s">
        <v>1474</v>
      </c>
      <c r="B18" s="161"/>
      <c r="C18" s="161" t="s">
        <v>418</v>
      </c>
      <c r="D18" s="220">
        <v>375</v>
      </c>
      <c r="E18" s="221">
        <v>1000</v>
      </c>
      <c r="F18" s="222">
        <v>1000</v>
      </c>
      <c r="G18" s="165">
        <v>0</v>
      </c>
      <c r="H18" s="165">
        <v>0</v>
      </c>
      <c r="I18" s="165">
        <v>0</v>
      </c>
      <c r="J18" s="165">
        <v>11424</v>
      </c>
      <c r="K18" s="165">
        <v>15979</v>
      </c>
      <c r="L18" s="165"/>
      <c r="M18" s="165">
        <v>18000</v>
      </c>
      <c r="N18" s="165">
        <v>18720</v>
      </c>
      <c r="O18" s="219">
        <f t="shared" ref="O18:O44" si="1">(N18-K18)/K18</f>
        <v>0.1715376431566431</v>
      </c>
    </row>
    <row r="19" spans="1:15">
      <c r="A19" s="161" t="s">
        <v>1475</v>
      </c>
      <c r="B19" s="161"/>
      <c r="C19" s="161" t="s">
        <v>182</v>
      </c>
      <c r="D19" s="220">
        <v>375</v>
      </c>
      <c r="E19" s="221">
        <v>1000</v>
      </c>
      <c r="F19" s="222">
        <v>1000</v>
      </c>
      <c r="G19" s="165">
        <v>0</v>
      </c>
      <c r="H19" s="165">
        <v>0</v>
      </c>
      <c r="I19" s="165">
        <v>0</v>
      </c>
      <c r="J19" s="165">
        <v>708.29</v>
      </c>
      <c r="K19" s="165">
        <v>991</v>
      </c>
      <c r="L19" s="165"/>
      <c r="M19" s="165">
        <v>1105</v>
      </c>
      <c r="N19" s="165">
        <v>1161</v>
      </c>
      <c r="O19" s="219">
        <f t="shared" si="1"/>
        <v>0.1715438950554995</v>
      </c>
    </row>
    <row r="20" spans="1:15">
      <c r="A20" s="161" t="s">
        <v>1476</v>
      </c>
      <c r="B20" s="161"/>
      <c r="C20" s="161" t="s">
        <v>952</v>
      </c>
      <c r="D20" s="220">
        <v>375</v>
      </c>
      <c r="E20" s="221">
        <v>1000</v>
      </c>
      <c r="F20" s="222">
        <v>1000</v>
      </c>
      <c r="G20" s="165">
        <v>0</v>
      </c>
      <c r="H20" s="165">
        <v>0</v>
      </c>
      <c r="I20" s="165">
        <v>0</v>
      </c>
      <c r="J20" s="165">
        <v>165.65</v>
      </c>
      <c r="K20" s="165">
        <v>232</v>
      </c>
      <c r="L20" s="165"/>
      <c r="M20" s="165">
        <v>260</v>
      </c>
      <c r="N20" s="165">
        <v>271</v>
      </c>
      <c r="O20" s="219">
        <f t="shared" si="1"/>
        <v>0.16810344827586207</v>
      </c>
    </row>
    <row r="21" spans="1:15">
      <c r="A21" s="161" t="s">
        <v>1477</v>
      </c>
      <c r="B21" s="161"/>
      <c r="C21" s="161" t="s">
        <v>953</v>
      </c>
      <c r="D21" s="220">
        <v>375</v>
      </c>
      <c r="E21" s="221">
        <v>1000</v>
      </c>
      <c r="F21" s="222">
        <v>1000</v>
      </c>
      <c r="G21" s="165">
        <v>0</v>
      </c>
      <c r="H21" s="165">
        <v>0</v>
      </c>
      <c r="I21" s="165">
        <v>0</v>
      </c>
      <c r="J21" s="165">
        <v>111.57</v>
      </c>
      <c r="K21" s="165">
        <v>252</v>
      </c>
      <c r="L21" s="165"/>
      <c r="M21" s="165">
        <v>20</v>
      </c>
      <c r="N21" s="165">
        <v>90</v>
      </c>
      <c r="O21" s="219">
        <f t="shared" si="1"/>
        <v>-0.6428571428571429</v>
      </c>
    </row>
    <row r="22" spans="1:15">
      <c r="A22" s="161" t="s">
        <v>1478</v>
      </c>
      <c r="B22" s="161"/>
      <c r="C22" s="161" t="s">
        <v>954</v>
      </c>
      <c r="D22" s="220">
        <v>375</v>
      </c>
      <c r="E22" s="221">
        <v>1000</v>
      </c>
      <c r="F22" s="222">
        <v>1000</v>
      </c>
      <c r="G22" s="165">
        <v>0</v>
      </c>
      <c r="H22" s="165">
        <v>0</v>
      </c>
      <c r="I22" s="165">
        <v>0</v>
      </c>
      <c r="J22" s="165">
        <v>27.08</v>
      </c>
      <c r="K22" s="165">
        <v>37</v>
      </c>
      <c r="L22" s="165"/>
      <c r="M22" s="165">
        <v>45</v>
      </c>
      <c r="N22" s="165">
        <v>44</v>
      </c>
      <c r="O22" s="219">
        <f t="shared" si="1"/>
        <v>0.1891891891891892</v>
      </c>
    </row>
    <row r="23" spans="1:15">
      <c r="A23" s="161" t="s">
        <v>1479</v>
      </c>
      <c r="B23" s="161"/>
      <c r="C23" s="161" t="s">
        <v>445</v>
      </c>
      <c r="D23" s="220">
        <v>375</v>
      </c>
      <c r="E23" s="221">
        <v>1000</v>
      </c>
      <c r="F23" s="222">
        <v>1000</v>
      </c>
      <c r="G23" s="165">
        <v>0</v>
      </c>
      <c r="H23" s="165">
        <v>0</v>
      </c>
      <c r="I23" s="165">
        <v>0</v>
      </c>
      <c r="J23" s="165">
        <v>0</v>
      </c>
      <c r="K23" s="165">
        <v>500</v>
      </c>
      <c r="L23" s="165"/>
      <c r="M23" s="165">
        <v>0</v>
      </c>
      <c r="N23" s="165">
        <v>500</v>
      </c>
      <c r="O23" s="219">
        <f t="shared" si="1"/>
        <v>0</v>
      </c>
    </row>
    <row r="24" spans="1:15">
      <c r="A24" s="161" t="s">
        <v>1480</v>
      </c>
      <c r="B24" s="161"/>
      <c r="C24" s="161" t="s">
        <v>368</v>
      </c>
      <c r="D24" s="220">
        <v>5000</v>
      </c>
      <c r="E24" s="221">
        <v>4000</v>
      </c>
      <c r="F24" s="222">
        <v>2800</v>
      </c>
      <c r="G24" s="165">
        <v>5500</v>
      </c>
      <c r="H24" s="165">
        <v>5500</v>
      </c>
      <c r="I24" s="165">
        <v>5500</v>
      </c>
      <c r="J24" s="165">
        <v>5775</v>
      </c>
      <c r="K24" s="165">
        <v>6000</v>
      </c>
      <c r="L24" s="165"/>
      <c r="M24" s="165">
        <v>6000</v>
      </c>
      <c r="N24" s="165">
        <v>7500</v>
      </c>
      <c r="O24" s="219">
        <f t="shared" si="1"/>
        <v>0.25</v>
      </c>
    </row>
    <row r="25" spans="1:15">
      <c r="A25" s="161" t="s">
        <v>1481</v>
      </c>
      <c r="B25" s="161"/>
      <c r="C25" s="161" t="s">
        <v>697</v>
      </c>
      <c r="D25" s="220"/>
      <c r="E25" s="221"/>
      <c r="F25" s="222"/>
      <c r="G25" s="165">
        <v>0</v>
      </c>
      <c r="H25" s="165">
        <v>15000</v>
      </c>
      <c r="I25" s="165">
        <v>15232</v>
      </c>
      <c r="J25" s="165">
        <v>39520</v>
      </c>
      <c r="K25" s="165">
        <v>39520</v>
      </c>
      <c r="L25" s="165"/>
      <c r="M25" s="165">
        <v>39520</v>
      </c>
      <c r="N25" s="165">
        <v>39520</v>
      </c>
      <c r="O25" s="219">
        <f t="shared" si="1"/>
        <v>0</v>
      </c>
    </row>
    <row r="26" spans="1:15" hidden="1">
      <c r="A26" s="161" t="s">
        <v>878</v>
      </c>
      <c r="B26" s="161"/>
      <c r="C26" s="161" t="s">
        <v>879</v>
      </c>
      <c r="D26" s="220">
        <v>185.6</v>
      </c>
      <c r="E26" s="221">
        <v>300</v>
      </c>
      <c r="F26" s="222">
        <v>200</v>
      </c>
      <c r="G26" s="165">
        <v>692</v>
      </c>
      <c r="H26" s="165">
        <v>488</v>
      </c>
      <c r="I26" s="165">
        <v>0</v>
      </c>
      <c r="J26" s="165"/>
      <c r="K26" s="165"/>
      <c r="L26" s="165"/>
      <c r="M26" s="165"/>
      <c r="N26" s="165"/>
      <c r="O26" s="219" t="e">
        <f t="shared" si="1"/>
        <v>#DIV/0!</v>
      </c>
    </row>
    <row r="27" spans="1:15">
      <c r="A27" s="161" t="s">
        <v>1482</v>
      </c>
      <c r="B27" s="161"/>
      <c r="C27" s="161" t="s">
        <v>1298</v>
      </c>
      <c r="D27" s="220"/>
      <c r="E27" s="221"/>
      <c r="F27" s="222"/>
      <c r="G27" s="165"/>
      <c r="H27" s="165"/>
      <c r="I27" s="165"/>
      <c r="J27" s="165">
        <v>12000</v>
      </c>
      <c r="K27" s="165">
        <v>15000</v>
      </c>
      <c r="L27" s="165"/>
      <c r="M27" s="165">
        <v>15000</v>
      </c>
      <c r="N27" s="165">
        <v>15000</v>
      </c>
      <c r="O27" s="219"/>
    </row>
    <row r="28" spans="1:15">
      <c r="A28" s="161" t="s">
        <v>1483</v>
      </c>
      <c r="B28" s="161"/>
      <c r="C28" s="161" t="s">
        <v>390</v>
      </c>
      <c r="D28" s="220">
        <v>185.6</v>
      </c>
      <c r="E28" s="221">
        <v>300</v>
      </c>
      <c r="F28" s="222">
        <v>200</v>
      </c>
      <c r="G28" s="165">
        <v>692</v>
      </c>
      <c r="H28" s="165">
        <v>488</v>
      </c>
      <c r="I28" s="165">
        <v>510.42</v>
      </c>
      <c r="J28" s="165">
        <v>5429.53</v>
      </c>
      <c r="K28" s="165">
        <v>5500</v>
      </c>
      <c r="L28" s="165"/>
      <c r="M28" s="165">
        <v>5500</v>
      </c>
      <c r="N28" s="165">
        <v>5500</v>
      </c>
      <c r="O28" s="219">
        <f t="shared" si="1"/>
        <v>0</v>
      </c>
    </row>
    <row r="29" spans="1:15">
      <c r="A29" s="161" t="s">
        <v>1484</v>
      </c>
      <c r="B29" s="161"/>
      <c r="C29" s="161" t="s">
        <v>477</v>
      </c>
      <c r="D29" s="220">
        <v>3741.35</v>
      </c>
      <c r="E29" s="221">
        <v>5000</v>
      </c>
      <c r="F29" s="222">
        <v>1000</v>
      </c>
      <c r="G29" s="165">
        <v>9000</v>
      </c>
      <c r="H29" s="165">
        <v>9496.32</v>
      </c>
      <c r="I29" s="165">
        <v>11105</v>
      </c>
      <c r="J29" s="165">
        <v>44040</v>
      </c>
      <c r="K29" s="165">
        <v>48000</v>
      </c>
      <c r="L29" s="165"/>
      <c r="M29" s="165">
        <v>46500</v>
      </c>
      <c r="N29" s="165">
        <v>48000</v>
      </c>
      <c r="O29" s="219">
        <f t="shared" si="1"/>
        <v>0</v>
      </c>
    </row>
    <row r="30" spans="1:15">
      <c r="A30" s="161" t="s">
        <v>1485</v>
      </c>
      <c r="B30" s="161"/>
      <c r="C30" s="161" t="s">
        <v>370</v>
      </c>
      <c r="D30" s="220">
        <v>208.08</v>
      </c>
      <c r="E30" s="221"/>
      <c r="F30" s="222"/>
      <c r="G30" s="165">
        <v>345</v>
      </c>
      <c r="H30" s="165">
        <v>255</v>
      </c>
      <c r="I30" s="165">
        <v>357</v>
      </c>
      <c r="J30" s="165">
        <v>6770</v>
      </c>
      <c r="K30" s="165">
        <v>8000</v>
      </c>
      <c r="L30" s="165"/>
      <c r="M30" s="165">
        <v>6094</v>
      </c>
      <c r="N30" s="165">
        <v>10000</v>
      </c>
      <c r="O30" s="219">
        <f t="shared" si="1"/>
        <v>0.25</v>
      </c>
    </row>
    <row r="31" spans="1:15">
      <c r="A31" s="161" t="s">
        <v>1486</v>
      </c>
      <c r="B31" s="161"/>
      <c r="C31" s="161" t="s">
        <v>1097</v>
      </c>
      <c r="D31" s="220">
        <v>145</v>
      </c>
      <c r="E31" s="221">
        <v>1000</v>
      </c>
      <c r="F31" s="222">
        <v>1500</v>
      </c>
      <c r="G31" s="165">
        <v>0</v>
      </c>
      <c r="H31" s="165">
        <v>294</v>
      </c>
      <c r="I31" s="165">
        <v>929.77</v>
      </c>
      <c r="J31" s="165">
        <v>1152.6600000000001</v>
      </c>
      <c r="K31" s="165">
        <v>2000</v>
      </c>
      <c r="L31" s="165"/>
      <c r="M31" s="165">
        <v>3000</v>
      </c>
      <c r="N31" s="165">
        <v>3000</v>
      </c>
      <c r="O31" s="219">
        <f t="shared" si="1"/>
        <v>0.5</v>
      </c>
    </row>
    <row r="32" spans="1:15">
      <c r="A32" s="161" t="s">
        <v>1487</v>
      </c>
      <c r="B32" s="161"/>
      <c r="C32" s="161" t="s">
        <v>178</v>
      </c>
      <c r="D32" s="220">
        <v>0</v>
      </c>
      <c r="E32" s="221">
        <v>0</v>
      </c>
      <c r="F32" s="222">
        <v>7500</v>
      </c>
      <c r="G32" s="165">
        <v>0</v>
      </c>
      <c r="H32" s="165">
        <v>0</v>
      </c>
      <c r="I32" s="165">
        <v>1135</v>
      </c>
      <c r="J32" s="165">
        <v>2304.56</v>
      </c>
      <c r="K32" s="165">
        <v>1200</v>
      </c>
      <c r="L32" s="165"/>
      <c r="M32" s="165">
        <v>3500</v>
      </c>
      <c r="N32" s="165">
        <v>3500</v>
      </c>
      <c r="O32" s="219">
        <f t="shared" si="1"/>
        <v>1.9166666666666667</v>
      </c>
    </row>
    <row r="33" spans="1:15" hidden="1">
      <c r="A33" s="161" t="s">
        <v>443</v>
      </c>
      <c r="B33" s="161"/>
      <c r="C33" s="161" t="s">
        <v>723</v>
      </c>
      <c r="D33" s="220">
        <v>0</v>
      </c>
      <c r="E33" s="221">
        <v>0</v>
      </c>
      <c r="F33" s="222">
        <v>7500</v>
      </c>
      <c r="G33" s="165">
        <v>0</v>
      </c>
      <c r="H33" s="165">
        <v>45311</v>
      </c>
      <c r="I33" s="165">
        <v>3324.76</v>
      </c>
      <c r="J33" s="165"/>
      <c r="K33" s="165"/>
      <c r="L33" s="165"/>
      <c r="M33" s="415"/>
      <c r="N33" s="415"/>
      <c r="O33" s="219" t="e">
        <f t="shared" si="1"/>
        <v>#DIV/0!</v>
      </c>
    </row>
    <row r="34" spans="1:15">
      <c r="A34" s="161" t="s">
        <v>1488</v>
      </c>
      <c r="B34" s="161"/>
      <c r="C34" s="161" t="s">
        <v>448</v>
      </c>
      <c r="D34" s="220">
        <v>5932.5</v>
      </c>
      <c r="E34" s="221"/>
      <c r="F34" s="222"/>
      <c r="G34" s="165">
        <v>72807</v>
      </c>
      <c r="H34" s="165">
        <v>8938.4599999999991</v>
      </c>
      <c r="I34" s="165">
        <v>3562.82</v>
      </c>
      <c r="J34" s="165">
        <v>70344.05</v>
      </c>
      <c r="K34" s="165">
        <v>279101</v>
      </c>
      <c r="L34" s="165"/>
      <c r="M34" s="165">
        <v>31618.19</v>
      </c>
      <c r="N34" s="165">
        <v>288356</v>
      </c>
      <c r="O34" s="219">
        <f t="shared" si="1"/>
        <v>3.3160038838986605E-2</v>
      </c>
    </row>
    <row r="35" spans="1:15">
      <c r="A35" s="161" t="s">
        <v>1489</v>
      </c>
      <c r="B35" s="161"/>
      <c r="C35" s="161" t="s">
        <v>412</v>
      </c>
      <c r="D35" s="220">
        <v>3220</v>
      </c>
      <c r="E35" s="221">
        <v>4000</v>
      </c>
      <c r="F35" s="222">
        <v>3300</v>
      </c>
      <c r="G35" s="165">
        <v>48</v>
      </c>
      <c r="H35" s="165">
        <v>147.88999999999999</v>
      </c>
      <c r="I35" s="165">
        <v>473.28</v>
      </c>
      <c r="J35" s="165">
        <v>236.18</v>
      </c>
      <c r="K35" s="165">
        <v>300</v>
      </c>
      <c r="L35" s="165"/>
      <c r="M35" s="165">
        <v>228.34</v>
      </c>
      <c r="N35" s="165">
        <v>250</v>
      </c>
      <c r="O35" s="219">
        <f t="shared" si="1"/>
        <v>-0.16666666666666666</v>
      </c>
    </row>
    <row r="36" spans="1:15" ht="16.5" hidden="1" customHeight="1">
      <c r="A36" s="161" t="s">
        <v>947</v>
      </c>
      <c r="B36" s="161"/>
      <c r="C36" s="161" t="s">
        <v>948</v>
      </c>
      <c r="D36" s="220">
        <v>3220</v>
      </c>
      <c r="E36" s="221">
        <v>4000</v>
      </c>
      <c r="F36" s="222">
        <v>3300</v>
      </c>
      <c r="G36" s="165">
        <v>48</v>
      </c>
      <c r="H36" s="165">
        <v>147.88999999999999</v>
      </c>
      <c r="I36" s="165">
        <v>473.28</v>
      </c>
      <c r="J36" s="165"/>
      <c r="K36" s="165"/>
      <c r="L36" s="165"/>
      <c r="M36" s="415"/>
      <c r="N36" s="415"/>
      <c r="O36" s="219" t="e">
        <f t="shared" si="1"/>
        <v>#DIV/0!</v>
      </c>
    </row>
    <row r="37" spans="1:15">
      <c r="A37" s="161" t="s">
        <v>1490</v>
      </c>
      <c r="B37" s="161"/>
      <c r="C37" s="161" t="s">
        <v>606</v>
      </c>
      <c r="D37" s="220"/>
      <c r="E37" s="221"/>
      <c r="F37" s="222"/>
      <c r="G37" s="165">
        <v>0</v>
      </c>
      <c r="H37" s="165">
        <v>10385.84</v>
      </c>
      <c r="I37" s="165">
        <v>22855.15</v>
      </c>
      <c r="J37" s="165">
        <v>57035</v>
      </c>
      <c r="K37" s="165">
        <v>0</v>
      </c>
      <c r="L37" s="165"/>
      <c r="M37" s="165">
        <v>0</v>
      </c>
      <c r="N37" s="165">
        <v>0</v>
      </c>
      <c r="O37" s="219" t="e">
        <f t="shared" si="1"/>
        <v>#DIV/0!</v>
      </c>
    </row>
    <row r="38" spans="1:15">
      <c r="A38" s="161" t="s">
        <v>1491</v>
      </c>
      <c r="B38" s="161"/>
      <c r="C38" s="161" t="s">
        <v>972</v>
      </c>
      <c r="D38" s="220"/>
      <c r="E38" s="221"/>
      <c r="F38" s="222"/>
      <c r="G38" s="165"/>
      <c r="H38" s="165"/>
      <c r="I38" s="165"/>
      <c r="J38" s="165">
        <v>132076.32</v>
      </c>
      <c r="K38" s="165">
        <v>0</v>
      </c>
      <c r="L38" s="165">
        <v>0</v>
      </c>
      <c r="M38" s="165">
        <v>0</v>
      </c>
      <c r="N38" s="165">
        <v>0</v>
      </c>
      <c r="O38" s="219">
        <v>0</v>
      </c>
    </row>
    <row r="39" spans="1:15">
      <c r="A39" s="161" t="s">
        <v>1492</v>
      </c>
      <c r="B39" s="161"/>
      <c r="C39" s="161" t="s">
        <v>724</v>
      </c>
      <c r="D39" s="220"/>
      <c r="E39" s="221"/>
      <c r="F39" s="222"/>
      <c r="G39" s="165">
        <v>0</v>
      </c>
      <c r="H39" s="165">
        <v>10385.84</v>
      </c>
      <c r="I39" s="165">
        <v>22855.15</v>
      </c>
      <c r="J39" s="165">
        <v>55349</v>
      </c>
      <c r="K39" s="165">
        <v>30000</v>
      </c>
      <c r="L39" s="165"/>
      <c r="M39" s="165">
        <v>30000</v>
      </c>
      <c r="N39" s="165">
        <v>40000</v>
      </c>
      <c r="O39" s="219">
        <f t="shared" si="1"/>
        <v>0.33333333333333331</v>
      </c>
    </row>
    <row r="40" spans="1:15">
      <c r="A40" s="161" t="s">
        <v>1493</v>
      </c>
      <c r="B40" s="161"/>
      <c r="C40" s="161" t="s">
        <v>1171</v>
      </c>
      <c r="D40" s="220"/>
      <c r="E40" s="221"/>
      <c r="F40" s="222"/>
      <c r="G40" s="165">
        <v>0</v>
      </c>
      <c r="H40" s="165">
        <v>10385.84</v>
      </c>
      <c r="I40" s="165">
        <v>22855.15</v>
      </c>
      <c r="J40" s="165"/>
      <c r="K40" s="165"/>
      <c r="L40" s="165"/>
      <c r="M40" s="165"/>
      <c r="N40" s="165"/>
      <c r="O40" s="219">
        <v>0</v>
      </c>
    </row>
    <row r="41" spans="1:15">
      <c r="A41" s="161" t="s">
        <v>1494</v>
      </c>
      <c r="B41" s="161"/>
      <c r="C41" s="161" t="s">
        <v>273</v>
      </c>
      <c r="D41" s="220">
        <v>15000</v>
      </c>
      <c r="E41" s="221">
        <v>15000</v>
      </c>
      <c r="F41" s="222">
        <v>24000</v>
      </c>
      <c r="G41" s="165">
        <v>15000</v>
      </c>
      <c r="H41" s="165">
        <v>15000</v>
      </c>
      <c r="I41" s="165">
        <v>15000</v>
      </c>
      <c r="J41" s="165">
        <v>15000</v>
      </c>
      <c r="K41" s="165">
        <v>15000</v>
      </c>
      <c r="L41" s="165"/>
      <c r="M41" s="165">
        <v>15000</v>
      </c>
      <c r="N41" s="165">
        <v>15000</v>
      </c>
      <c r="O41" s="219">
        <f t="shared" si="1"/>
        <v>0</v>
      </c>
    </row>
    <row r="42" spans="1:15">
      <c r="A42" s="161" t="s">
        <v>1495</v>
      </c>
      <c r="B42" s="161"/>
      <c r="C42" s="161" t="s">
        <v>655</v>
      </c>
      <c r="D42" s="220">
        <v>0</v>
      </c>
      <c r="E42" s="221">
        <v>0</v>
      </c>
      <c r="F42" s="222">
        <v>80000</v>
      </c>
      <c r="G42" s="165">
        <v>20000</v>
      </c>
      <c r="H42" s="165">
        <v>20000</v>
      </c>
      <c r="I42" s="165">
        <v>20000</v>
      </c>
      <c r="J42" s="165">
        <v>83000</v>
      </c>
      <c r="K42" s="165">
        <v>93288</v>
      </c>
      <c r="L42" s="165"/>
      <c r="M42" s="165">
        <v>93288</v>
      </c>
      <c r="N42" s="165">
        <v>93288</v>
      </c>
      <c r="O42" s="219">
        <f t="shared" si="1"/>
        <v>0</v>
      </c>
    </row>
    <row r="43" spans="1:15" ht="16.5" hidden="1" customHeight="1">
      <c r="A43" s="161" t="s">
        <v>767</v>
      </c>
      <c r="B43" s="161"/>
      <c r="C43" s="161" t="s">
        <v>768</v>
      </c>
      <c r="D43" s="220">
        <v>45100</v>
      </c>
      <c r="E43" s="221">
        <v>43143</v>
      </c>
      <c r="F43" s="222">
        <v>450</v>
      </c>
      <c r="G43" s="165">
        <v>9970</v>
      </c>
      <c r="H43" s="165">
        <v>0</v>
      </c>
      <c r="I43" s="165">
        <v>0</v>
      </c>
      <c r="J43" s="165"/>
      <c r="K43" s="165"/>
      <c r="L43" s="165"/>
      <c r="M43" s="415"/>
      <c r="N43" s="415"/>
      <c r="O43" s="219" t="e">
        <f t="shared" si="1"/>
        <v>#DIV/0!</v>
      </c>
    </row>
    <row r="44" spans="1:15" ht="16.5" hidden="1" customHeight="1">
      <c r="A44" s="161" t="s">
        <v>767</v>
      </c>
      <c r="B44" s="161"/>
      <c r="C44" s="161" t="s">
        <v>769</v>
      </c>
      <c r="D44" s="220">
        <v>1000</v>
      </c>
      <c r="E44" s="221">
        <v>1000</v>
      </c>
      <c r="F44" s="222">
        <v>450</v>
      </c>
      <c r="G44" s="165">
        <v>16000</v>
      </c>
      <c r="H44" s="165">
        <v>0</v>
      </c>
      <c r="I44" s="165">
        <v>0</v>
      </c>
      <c r="J44" s="165"/>
      <c r="K44" s="165"/>
      <c r="L44" s="165"/>
      <c r="M44" s="415"/>
      <c r="N44" s="415"/>
      <c r="O44" s="219" t="e">
        <f t="shared" si="1"/>
        <v>#DIV/0!</v>
      </c>
    </row>
    <row r="45" spans="1:15">
      <c r="A45" s="161" t="s">
        <v>1496</v>
      </c>
      <c r="B45" s="161"/>
      <c r="C45" s="161" t="s">
        <v>462</v>
      </c>
      <c r="D45" s="220">
        <v>0</v>
      </c>
      <c r="E45" s="221">
        <v>17697</v>
      </c>
      <c r="F45" s="222">
        <v>1268</v>
      </c>
      <c r="G45" s="165">
        <v>0</v>
      </c>
      <c r="H45" s="165">
        <v>17500</v>
      </c>
      <c r="I45" s="165">
        <v>4970.6899999999996</v>
      </c>
      <c r="J45" s="165">
        <v>58.88</v>
      </c>
      <c r="K45" s="165">
        <v>300</v>
      </c>
      <c r="L45" s="165"/>
      <c r="M45" s="165">
        <v>132.27000000000001</v>
      </c>
      <c r="N45" s="165">
        <v>300</v>
      </c>
      <c r="O45" s="219">
        <f>(N45-K45)/K45</f>
        <v>0</v>
      </c>
    </row>
    <row r="46" spans="1:15" hidden="1">
      <c r="A46" s="161" t="s">
        <v>1336</v>
      </c>
      <c r="B46" s="161"/>
      <c r="C46" s="161" t="s">
        <v>1337</v>
      </c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219" t="e">
        <f>(N46-K46)/K46</f>
        <v>#DIV/0!</v>
      </c>
    </row>
    <row r="47" spans="1:15" hidden="1">
      <c r="A47" s="161" t="s">
        <v>1338</v>
      </c>
      <c r="B47" s="161"/>
      <c r="C47" s="161" t="s">
        <v>1339</v>
      </c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219" t="e">
        <f>(N47-K47)/K47</f>
        <v>#DIV/0!</v>
      </c>
    </row>
    <row r="48" spans="1:15" hidden="1">
      <c r="A48" s="161" t="s">
        <v>1340</v>
      </c>
      <c r="B48" s="161"/>
      <c r="C48" s="161" t="s">
        <v>1341</v>
      </c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219" t="e">
        <f>(N48-K48)/K48</f>
        <v>#DIV/0!</v>
      </c>
    </row>
    <row r="49" spans="1:15" hidden="1">
      <c r="A49" s="161" t="s">
        <v>1342</v>
      </c>
      <c r="B49" s="161"/>
      <c r="C49" s="161" t="s">
        <v>1343</v>
      </c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219" t="e">
        <f>(N49-K49)/K49</f>
        <v>#DIV/0!</v>
      </c>
    </row>
    <row r="50" spans="1:15" s="39" customFormat="1" ht="13.5"/>
    <row r="51" spans="1:15">
      <c r="A51" s="161"/>
      <c r="B51" s="177" t="s">
        <v>487</v>
      </c>
      <c r="C51" s="154"/>
      <c r="D51" s="223">
        <f t="shared" ref="D51:I51" si="2">SUM(D23:D45)</f>
        <v>83313.13</v>
      </c>
      <c r="E51" s="223">
        <f t="shared" si="2"/>
        <v>96440</v>
      </c>
      <c r="F51" s="223">
        <f t="shared" si="2"/>
        <v>134468</v>
      </c>
      <c r="G51" s="223">
        <f t="shared" si="2"/>
        <v>150102</v>
      </c>
      <c r="H51" s="223">
        <f t="shared" si="2"/>
        <v>169724.08</v>
      </c>
      <c r="I51" s="223">
        <f t="shared" si="2"/>
        <v>151139.47</v>
      </c>
      <c r="J51" s="203">
        <f>SUM(J18:J50)</f>
        <v>542527.77</v>
      </c>
      <c r="K51" s="203">
        <f>SUM(K18:K50)</f>
        <v>561200</v>
      </c>
      <c r="L51" s="203">
        <f>SUM(L18:L50)</f>
        <v>0</v>
      </c>
      <c r="M51" s="203">
        <f>SUM(M18:M50)</f>
        <v>314810.80000000005</v>
      </c>
      <c r="N51" s="203">
        <f>SUM(N18:N50)</f>
        <v>590000</v>
      </c>
      <c r="O51" s="203">
        <f>(N51-K51)/K51</f>
        <v>5.1318602993585177E-2</v>
      </c>
    </row>
    <row r="52" spans="1:15">
      <c r="A52" s="147"/>
      <c r="B52" s="147"/>
      <c r="C52" s="41"/>
      <c r="D52" s="148"/>
      <c r="E52" s="148"/>
      <c r="F52" s="148"/>
      <c r="G52" s="108"/>
      <c r="H52" s="108"/>
      <c r="I52" s="108"/>
      <c r="J52" s="108"/>
      <c r="K52" s="108"/>
      <c r="L52" s="108"/>
      <c r="M52" s="108"/>
      <c r="N52" s="108"/>
      <c r="O52" s="145"/>
    </row>
    <row r="53" spans="1:15">
      <c r="A53" s="147"/>
      <c r="B53" s="147"/>
      <c r="C53" s="147"/>
      <c r="D53" s="148"/>
      <c r="E53" s="148"/>
      <c r="F53" s="148"/>
      <c r="G53" s="108"/>
      <c r="H53" s="108"/>
      <c r="I53" s="108"/>
      <c r="J53" s="108"/>
      <c r="K53" s="108"/>
      <c r="L53" s="108"/>
      <c r="M53" s="108"/>
      <c r="N53" s="108"/>
      <c r="O53" s="145"/>
    </row>
    <row r="54" spans="1:15" s="92" customFormat="1" thickBot="1">
      <c r="A54" s="160"/>
      <c r="B54" s="188" t="s">
        <v>483</v>
      </c>
      <c r="C54" s="160"/>
      <c r="D54" s="224"/>
      <c r="E54" s="224"/>
      <c r="F54" s="224"/>
      <c r="G54" s="225">
        <f t="shared" ref="G54:N54" si="3">G13-G51</f>
        <v>-21865</v>
      </c>
      <c r="H54" s="225">
        <f t="shared" si="3"/>
        <v>-38475.859999999986</v>
      </c>
      <c r="I54" s="225">
        <f t="shared" si="3"/>
        <v>-33538.130000000005</v>
      </c>
      <c r="J54" s="226">
        <f t="shared" si="3"/>
        <v>1439.9300000000512</v>
      </c>
      <c r="K54" s="226">
        <f t="shared" si="3"/>
        <v>0</v>
      </c>
      <c r="L54" s="226">
        <f t="shared" si="3"/>
        <v>0</v>
      </c>
      <c r="M54" s="226">
        <f t="shared" si="3"/>
        <v>257189.19999999995</v>
      </c>
      <c r="N54" s="226">
        <f t="shared" si="3"/>
        <v>0</v>
      </c>
      <c r="O54" s="227">
        <v>0</v>
      </c>
    </row>
    <row r="55" spans="1:15" s="92" customFormat="1" ht="17.25" thickTop="1" thickBot="1">
      <c r="A55" s="160"/>
      <c r="B55" s="188" t="s">
        <v>484</v>
      </c>
      <c r="C55" s="160"/>
      <c r="D55" s="228">
        <f>D13-D51</f>
        <v>26656.559999999998</v>
      </c>
      <c r="E55" s="228">
        <f>E13-E51</f>
        <v>6060</v>
      </c>
      <c r="F55" s="228">
        <f>F13-F51</f>
        <v>-28968</v>
      </c>
      <c r="G55" s="229"/>
      <c r="H55" s="229"/>
      <c r="I55" s="229"/>
      <c r="J55" s="229"/>
      <c r="K55" s="229"/>
      <c r="L55" s="229"/>
      <c r="M55" s="229"/>
      <c r="N55" s="229"/>
      <c r="O55" s="230"/>
    </row>
    <row r="56" spans="1:15" ht="17.25" thickTop="1">
      <c r="A56" s="93"/>
      <c r="B56" s="93"/>
      <c r="C56" s="93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</row>
    <row r="117" spans="6:6">
      <c r="F117" s="149">
        <v>25870</v>
      </c>
    </row>
  </sheetData>
  <mergeCells count="7">
    <mergeCell ref="B8:C8"/>
    <mergeCell ref="B17:C17"/>
    <mergeCell ref="K5:M5"/>
    <mergeCell ref="N5:O5"/>
    <mergeCell ref="A1:O1"/>
    <mergeCell ref="A2:O2"/>
    <mergeCell ref="A3:O3"/>
  </mergeCells>
  <phoneticPr fontId="0" type="noConversion"/>
  <printOptions horizontalCentered="1"/>
  <pageMargins left="0.7" right="0.7" top="0.75" bottom="0.75" header="0.3" footer="0.3"/>
  <pageSetup scale="67" firstPageNumber="35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50"/>
  <sheetViews>
    <sheetView topLeftCell="B16" zoomScaleNormal="100" zoomScalePageLayoutView="106" workbookViewId="0">
      <selection activeCell="AD23" sqref="AD23"/>
    </sheetView>
  </sheetViews>
  <sheetFormatPr defaultColWidth="9.140625" defaultRowHeight="18.75"/>
  <cols>
    <col min="1" max="1" width="0" style="113" hidden="1" customWidth="1"/>
    <col min="2" max="2" width="16" style="113" customWidth="1"/>
    <col min="3" max="3" width="46.28515625" style="113" customWidth="1"/>
    <col min="4" max="4" width="7.85546875" style="113" bestFit="1" customWidth="1"/>
    <col min="5" max="9" width="19.7109375" style="152" hidden="1" customWidth="1"/>
    <col min="10" max="11" width="19.7109375" style="152" bestFit="1" customWidth="1"/>
    <col min="12" max="12" width="23.5703125" style="151" hidden="1" customWidth="1"/>
    <col min="13" max="13" width="23.5703125" style="151" customWidth="1"/>
    <col min="14" max="14" width="2.7109375" style="151" customWidth="1"/>
    <col min="15" max="15" width="19" style="151" customWidth="1"/>
    <col min="16" max="16" width="9.140625" style="113"/>
    <col min="17" max="17" width="16" style="113" bestFit="1" customWidth="1"/>
    <col min="18" max="16384" width="9.140625" style="113"/>
  </cols>
  <sheetData>
    <row r="1" spans="1:24" s="90" customFormat="1">
      <c r="A1" s="421" t="s">
        <v>48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150"/>
      <c r="Q1" s="89"/>
      <c r="R1" s="89"/>
      <c r="S1" s="89"/>
      <c r="T1" s="89"/>
      <c r="X1" s="91"/>
    </row>
    <row r="2" spans="1:24" s="90" customFormat="1">
      <c r="A2" s="421" t="s">
        <v>1330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150"/>
      <c r="Q2" s="89"/>
      <c r="R2" s="89"/>
      <c r="S2" s="89"/>
      <c r="T2" s="89"/>
      <c r="X2" s="91"/>
    </row>
    <row r="3" spans="1:24" s="90" customFormat="1">
      <c r="A3" s="421" t="s">
        <v>1513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150"/>
      <c r="Q3" s="89"/>
      <c r="R3" s="89"/>
      <c r="S3" s="89"/>
      <c r="T3" s="89"/>
      <c r="X3" s="91"/>
    </row>
    <row r="4" spans="1:24" s="90" customFormat="1" ht="19.5" thickBot="1">
      <c r="A4" s="158"/>
      <c r="B4" s="231"/>
      <c r="C4" s="231"/>
      <c r="D4" s="232"/>
      <c r="E4" s="233"/>
      <c r="F4" s="233"/>
      <c r="G4" s="233"/>
      <c r="H4" s="233"/>
      <c r="I4" s="233"/>
      <c r="J4" s="233"/>
      <c r="K4" s="233"/>
      <c r="L4" s="234"/>
      <c r="M4" s="234"/>
      <c r="N4" s="234"/>
      <c r="O4" s="234"/>
      <c r="P4" s="150"/>
      <c r="Q4" s="89"/>
      <c r="R4" s="89"/>
      <c r="S4" s="89"/>
      <c r="T4" s="89"/>
      <c r="X4" s="91"/>
    </row>
    <row r="5" spans="1:24" s="93" customFormat="1" ht="17.25" thickTop="1" thickBot="1">
      <c r="A5" s="161"/>
      <c r="B5" s="161"/>
      <c r="C5" s="161"/>
      <c r="D5" s="174"/>
      <c r="E5" s="176" t="s">
        <v>618</v>
      </c>
      <c r="F5" s="176" t="s">
        <v>619</v>
      </c>
      <c r="G5" s="176" t="s">
        <v>705</v>
      </c>
      <c r="H5" s="176" t="s">
        <v>766</v>
      </c>
      <c r="I5" s="176" t="s">
        <v>938</v>
      </c>
      <c r="J5" s="211" t="s">
        <v>1385</v>
      </c>
      <c r="K5" s="429" t="s">
        <v>1415</v>
      </c>
      <c r="L5" s="429"/>
      <c r="M5" s="429"/>
      <c r="N5" s="426" t="s">
        <v>1515</v>
      </c>
      <c r="O5" s="426"/>
    </row>
    <row r="6" spans="1:24" s="93" customFormat="1" ht="21.75" thickTop="1" thickBot="1">
      <c r="A6" s="161"/>
      <c r="B6" s="161"/>
      <c r="C6" s="161"/>
      <c r="D6" s="250"/>
      <c r="E6" s="213" t="s">
        <v>354</v>
      </c>
      <c r="F6" s="213" t="s">
        <v>354</v>
      </c>
      <c r="G6" s="213" t="s">
        <v>354</v>
      </c>
      <c r="H6" s="213" t="s">
        <v>354</v>
      </c>
      <c r="I6" s="213" t="s">
        <v>354</v>
      </c>
      <c r="J6" s="214" t="s">
        <v>354</v>
      </c>
      <c r="K6" s="214" t="s">
        <v>459</v>
      </c>
      <c r="L6" s="236" t="s">
        <v>1098</v>
      </c>
      <c r="M6" s="214" t="s">
        <v>722</v>
      </c>
      <c r="N6" s="214"/>
      <c r="O6" s="214" t="s">
        <v>1242</v>
      </c>
      <c r="P6" s="114"/>
    </row>
    <row r="7" spans="1:24" s="93" customFormat="1" ht="21" thickTop="1">
      <c r="A7" s="161"/>
      <c r="B7" s="177" t="s">
        <v>436</v>
      </c>
      <c r="C7" s="161"/>
      <c r="D7" s="250"/>
      <c r="E7" s="251"/>
      <c r="F7" s="251"/>
      <c r="G7" s="251"/>
      <c r="H7" s="251"/>
      <c r="I7" s="251"/>
      <c r="J7" s="251"/>
      <c r="K7" s="251"/>
      <c r="L7" s="252"/>
      <c r="M7" s="252"/>
      <c r="N7" s="253"/>
      <c r="O7" s="254"/>
    </row>
    <row r="8" spans="1:24" s="93" customFormat="1" ht="15.75">
      <c r="A8" s="161"/>
      <c r="B8" s="161"/>
      <c r="C8" s="160" t="s">
        <v>104</v>
      </c>
      <c r="D8" s="161"/>
      <c r="E8" s="253">
        <f t="shared" ref="E8:M8" si="0">E28</f>
        <v>313031.73</v>
      </c>
      <c r="F8" s="253">
        <f t="shared" si="0"/>
        <v>320822.14999999997</v>
      </c>
      <c r="G8" s="253">
        <f t="shared" si="0"/>
        <v>304750.32999999996</v>
      </c>
      <c r="H8" s="253">
        <f>H28</f>
        <v>207457.32</v>
      </c>
      <c r="I8" s="253">
        <f>I28</f>
        <v>253163.41999999998</v>
      </c>
      <c r="J8" s="165">
        <f t="shared" si="0"/>
        <v>882571.09999999986</v>
      </c>
      <c r="K8" s="165">
        <f t="shared" si="0"/>
        <v>916797</v>
      </c>
      <c r="L8" s="165">
        <f>L28</f>
        <v>0</v>
      </c>
      <c r="M8" s="165">
        <f t="shared" si="0"/>
        <v>841990.6599999998</v>
      </c>
      <c r="N8" s="178"/>
      <c r="O8" s="165">
        <f>O28</f>
        <v>1008658</v>
      </c>
    </row>
    <row r="9" spans="1:24" s="93" customFormat="1" ht="20.25">
      <c r="A9" s="161"/>
      <c r="B9" s="177" t="s">
        <v>469</v>
      </c>
      <c r="C9" s="161"/>
      <c r="D9" s="250"/>
      <c r="E9" s="255">
        <f t="shared" ref="E9:M9" si="1">SUM(E8:E8)</f>
        <v>313031.73</v>
      </c>
      <c r="F9" s="255">
        <f t="shared" si="1"/>
        <v>320822.14999999997</v>
      </c>
      <c r="G9" s="255">
        <f t="shared" si="1"/>
        <v>304750.32999999996</v>
      </c>
      <c r="H9" s="255">
        <f>SUM(H8:H8)</f>
        <v>207457.32</v>
      </c>
      <c r="I9" s="255">
        <f>SUM(I8:I8)</f>
        <v>253163.41999999998</v>
      </c>
      <c r="J9" s="269">
        <f t="shared" si="1"/>
        <v>882571.09999999986</v>
      </c>
      <c r="K9" s="269">
        <f t="shared" si="1"/>
        <v>916797</v>
      </c>
      <c r="L9" s="269">
        <f>SUM(L8:L8)</f>
        <v>0</v>
      </c>
      <c r="M9" s="269">
        <f t="shared" si="1"/>
        <v>841990.6599999998</v>
      </c>
      <c r="N9" s="269"/>
      <c r="O9" s="269">
        <f>SUM(O8:O8)</f>
        <v>1008658</v>
      </c>
    </row>
    <row r="10" spans="1:24" s="93" customFormat="1" ht="20.25">
      <c r="A10" s="161"/>
      <c r="B10" s="177" t="s">
        <v>141</v>
      </c>
      <c r="C10" s="161"/>
      <c r="D10" s="250"/>
      <c r="E10" s="258"/>
      <c r="F10" s="258"/>
      <c r="G10" s="258"/>
      <c r="H10" s="258"/>
      <c r="I10" s="258"/>
      <c r="J10" s="258"/>
      <c r="K10" s="258"/>
      <c r="L10" s="252"/>
      <c r="M10" s="252"/>
      <c r="N10" s="165"/>
      <c r="O10" s="254"/>
    </row>
    <row r="11" spans="1:24" s="93" customFormat="1" ht="15.75">
      <c r="A11" s="161"/>
      <c r="B11" s="161"/>
      <c r="C11" s="259" t="s">
        <v>104</v>
      </c>
      <c r="D11" s="185"/>
      <c r="E11" s="260">
        <f t="shared" ref="E11:M11" si="2">E48</f>
        <v>571800.13</v>
      </c>
      <c r="F11" s="260">
        <f t="shared" si="2"/>
        <v>613332.02</v>
      </c>
      <c r="G11" s="260">
        <f t="shared" si="2"/>
        <v>661948.06000000006</v>
      </c>
      <c r="H11" s="260">
        <f>H48</f>
        <v>530965.66</v>
      </c>
      <c r="I11" s="260">
        <f>I48</f>
        <v>261163.56</v>
      </c>
      <c r="J11" s="260">
        <f t="shared" si="2"/>
        <v>875971.99</v>
      </c>
      <c r="K11" s="260">
        <f t="shared" si="2"/>
        <v>916727</v>
      </c>
      <c r="L11" s="165">
        <f>L48</f>
        <v>0</v>
      </c>
      <c r="M11" s="165">
        <f t="shared" si="2"/>
        <v>849835.04999999993</v>
      </c>
      <c r="N11" s="260"/>
      <c r="O11" s="165">
        <f>O48</f>
        <v>1008658</v>
      </c>
    </row>
    <row r="12" spans="1:24" s="93" customFormat="1" ht="15.75">
      <c r="A12" s="161"/>
      <c r="B12" s="262" t="s">
        <v>144</v>
      </c>
      <c r="C12" s="160"/>
      <c r="D12" s="185"/>
      <c r="E12" s="255">
        <f t="shared" ref="E12:M12" si="3">SUM(E11:E11)</f>
        <v>571800.13</v>
      </c>
      <c r="F12" s="255">
        <f t="shared" si="3"/>
        <v>613332.02</v>
      </c>
      <c r="G12" s="255">
        <f t="shared" si="3"/>
        <v>661948.06000000006</v>
      </c>
      <c r="H12" s="255">
        <f>SUM(H11:H11)</f>
        <v>530965.66</v>
      </c>
      <c r="I12" s="255">
        <f>SUM(I11:I11)</f>
        <v>261163.56</v>
      </c>
      <c r="J12" s="269">
        <f t="shared" si="3"/>
        <v>875971.99</v>
      </c>
      <c r="K12" s="269">
        <f t="shared" si="3"/>
        <v>916727</v>
      </c>
      <c r="L12" s="269">
        <f>SUM(L11:L11)</f>
        <v>0</v>
      </c>
      <c r="M12" s="269">
        <f t="shared" si="3"/>
        <v>849835.04999999993</v>
      </c>
      <c r="N12" s="269"/>
      <c r="O12" s="269">
        <f>SUM(O11:O11)</f>
        <v>1008658</v>
      </c>
    </row>
    <row r="13" spans="1:24" s="93" customFormat="1" ht="15.75">
      <c r="A13" s="161"/>
      <c r="B13" s="262"/>
      <c r="C13" s="160"/>
      <c r="D13" s="185"/>
      <c r="E13" s="263"/>
      <c r="F13" s="263"/>
      <c r="G13" s="263"/>
      <c r="H13" s="263"/>
      <c r="I13" s="263"/>
      <c r="J13" s="263"/>
      <c r="K13" s="263"/>
      <c r="L13" s="263"/>
      <c r="M13" s="263"/>
      <c r="N13" s="260"/>
      <c r="O13" s="263"/>
    </row>
    <row r="14" spans="1:24" s="93" customFormat="1" ht="21" thickBot="1">
      <c r="A14" s="161"/>
      <c r="B14" s="177" t="s">
        <v>145</v>
      </c>
      <c r="C14" s="161"/>
      <c r="D14" s="250"/>
      <c r="E14" s="264">
        <f t="shared" ref="E14:M14" si="4">+E9-E12</f>
        <v>-258768.40000000002</v>
      </c>
      <c r="F14" s="264">
        <f t="shared" si="4"/>
        <v>-292509.87000000005</v>
      </c>
      <c r="G14" s="264">
        <f t="shared" si="4"/>
        <v>-357197.7300000001</v>
      </c>
      <c r="H14" s="264">
        <f>+H9-H12</f>
        <v>-323508.34000000003</v>
      </c>
      <c r="I14" s="264">
        <f>+I9-I12</f>
        <v>-8000.140000000014</v>
      </c>
      <c r="J14" s="263">
        <f t="shared" si="4"/>
        <v>6599.1099999998696</v>
      </c>
      <c r="K14" s="263">
        <f t="shared" si="4"/>
        <v>70</v>
      </c>
      <c r="L14" s="263">
        <f>+L9-L12</f>
        <v>0</v>
      </c>
      <c r="M14" s="263">
        <f t="shared" si="4"/>
        <v>-7844.3900000001304</v>
      </c>
      <c r="N14" s="165"/>
      <c r="O14" s="263">
        <f>+O9-O12</f>
        <v>0</v>
      </c>
    </row>
    <row r="15" spans="1:24" s="93" customFormat="1" ht="16.5" thickTop="1">
      <c r="A15" s="161"/>
      <c r="B15" s="161"/>
      <c r="C15" s="161"/>
      <c r="D15" s="161"/>
      <c r="E15" s="189"/>
      <c r="F15" s="189"/>
      <c r="G15" s="189"/>
      <c r="H15" s="189"/>
      <c r="I15" s="189"/>
      <c r="J15" s="189"/>
      <c r="K15" s="178"/>
      <c r="L15" s="178"/>
      <c r="M15" s="178"/>
      <c r="N15" s="178"/>
      <c r="O15" s="178"/>
    </row>
    <row r="16" spans="1:24" s="93" customFormat="1" ht="15.75">
      <c r="A16" s="161"/>
      <c r="B16" s="161"/>
      <c r="C16" s="161"/>
      <c r="D16" s="161"/>
      <c r="E16" s="189"/>
      <c r="F16" s="189"/>
      <c r="G16" s="189"/>
      <c r="H16" s="189"/>
      <c r="I16" s="189"/>
      <c r="J16" s="189"/>
      <c r="K16" s="178"/>
      <c r="L16" s="178"/>
      <c r="M16" s="178"/>
      <c r="N16" s="178"/>
      <c r="O16" s="178"/>
    </row>
    <row r="17" spans="1:15" s="41" customFormat="1" ht="16.5">
      <c r="A17" s="177"/>
      <c r="B17" s="265" t="s">
        <v>436</v>
      </c>
      <c r="C17" s="265"/>
      <c r="D17" s="265"/>
      <c r="E17" s="266"/>
      <c r="F17" s="266"/>
      <c r="G17" s="266"/>
      <c r="H17" s="266"/>
      <c r="I17" s="266"/>
      <c r="J17" s="266"/>
      <c r="K17" s="267"/>
      <c r="L17" s="267"/>
      <c r="M17" s="267"/>
      <c r="N17" s="267"/>
      <c r="O17" s="267"/>
    </row>
    <row r="18" spans="1:15" s="93" customFormat="1" ht="15.75">
      <c r="A18" s="161"/>
      <c r="B18" s="161" t="s">
        <v>346</v>
      </c>
      <c r="C18" s="161" t="s">
        <v>347</v>
      </c>
      <c r="D18" s="161"/>
      <c r="E18" s="178">
        <v>236187.65</v>
      </c>
      <c r="F18" s="178">
        <v>248356.61</v>
      </c>
      <c r="G18" s="178">
        <v>230649.3</v>
      </c>
      <c r="H18" s="178">
        <v>133176.68</v>
      </c>
      <c r="I18" s="178">
        <v>184271.43</v>
      </c>
      <c r="J18" s="178">
        <v>589475.82999999996</v>
      </c>
      <c r="K18" s="178">
        <v>594600</v>
      </c>
      <c r="L18" s="178"/>
      <c r="M18" s="178">
        <v>583457.59</v>
      </c>
      <c r="N18" s="178"/>
      <c r="O18" s="178">
        <v>631090</v>
      </c>
    </row>
    <row r="19" spans="1:15" s="93" customFormat="1" ht="15.75">
      <c r="A19" s="161"/>
      <c r="B19" s="161" t="s">
        <v>614</v>
      </c>
      <c r="C19" s="161" t="s">
        <v>180</v>
      </c>
      <c r="D19" s="161"/>
      <c r="E19" s="178">
        <v>-5125.1099999999997</v>
      </c>
      <c r="F19" s="178">
        <v>-5126.13</v>
      </c>
      <c r="G19" s="178">
        <v>-5036.01</v>
      </c>
      <c r="H19" s="178">
        <v>-2810.32</v>
      </c>
      <c r="I19" s="178">
        <v>-4076.46</v>
      </c>
      <c r="J19" s="178">
        <v>-14329.4</v>
      </c>
      <c r="K19" s="178">
        <v>-15000</v>
      </c>
      <c r="L19" s="178"/>
      <c r="M19" s="178">
        <v>-14130.04</v>
      </c>
      <c r="N19" s="178"/>
      <c r="O19" s="178">
        <v>-15000</v>
      </c>
    </row>
    <row r="20" spans="1:15" s="93" customFormat="1" ht="15.75">
      <c r="A20" s="161"/>
      <c r="B20" s="161" t="s">
        <v>490</v>
      </c>
      <c r="C20" s="161" t="s">
        <v>348</v>
      </c>
      <c r="D20" s="161"/>
      <c r="E20" s="178">
        <v>9409.7800000000007</v>
      </c>
      <c r="F20" s="178">
        <v>8768.81</v>
      </c>
      <c r="G20" s="178">
        <v>10007.83</v>
      </c>
      <c r="H20" s="178">
        <v>9882.84</v>
      </c>
      <c r="I20" s="178">
        <v>7585.52</v>
      </c>
      <c r="J20" s="178">
        <v>7873.39</v>
      </c>
      <c r="K20" s="178">
        <v>6000</v>
      </c>
      <c r="L20" s="178"/>
      <c r="M20" s="178">
        <v>7774.47</v>
      </c>
      <c r="N20" s="178"/>
      <c r="O20" s="178">
        <v>12000</v>
      </c>
    </row>
    <row r="21" spans="1:15" s="93" customFormat="1" ht="15.75">
      <c r="A21" s="161"/>
      <c r="B21" s="161" t="s">
        <v>491</v>
      </c>
      <c r="C21" s="161" t="s">
        <v>1026</v>
      </c>
      <c r="D21" s="161"/>
      <c r="E21" s="178"/>
      <c r="F21" s="178"/>
      <c r="G21" s="178"/>
      <c r="H21" s="178"/>
      <c r="I21" s="178">
        <v>0</v>
      </c>
      <c r="J21" s="178">
        <v>0</v>
      </c>
      <c r="K21" s="178">
        <v>0</v>
      </c>
      <c r="L21" s="178"/>
      <c r="M21" s="178">
        <v>0</v>
      </c>
      <c r="N21" s="178"/>
      <c r="O21" s="178">
        <v>0</v>
      </c>
    </row>
    <row r="22" spans="1:15" s="93" customFormat="1" ht="15.75">
      <c r="A22" s="161"/>
      <c r="B22" s="161" t="s">
        <v>349</v>
      </c>
      <c r="C22" s="161" t="s">
        <v>350</v>
      </c>
      <c r="D22" s="161"/>
      <c r="E22" s="178">
        <v>7573.61</v>
      </c>
      <c r="F22" s="178">
        <v>6904.99</v>
      </c>
      <c r="G22" s="178">
        <v>7810.98</v>
      </c>
      <c r="H22" s="178">
        <v>5246.45</v>
      </c>
      <c r="I22" s="178">
        <v>5305.13</v>
      </c>
      <c r="J22" s="178">
        <v>9568.84</v>
      </c>
      <c r="K22" s="178">
        <v>7500</v>
      </c>
      <c r="L22" s="178"/>
      <c r="M22" s="178">
        <v>5048.9399999999996</v>
      </c>
      <c r="N22" s="178"/>
      <c r="O22" s="178">
        <v>7000</v>
      </c>
    </row>
    <row r="23" spans="1:15" s="93" customFormat="1" ht="15.75" hidden="1">
      <c r="A23" s="161"/>
      <c r="B23" s="161" t="s">
        <v>152</v>
      </c>
      <c r="C23" s="161" t="s">
        <v>351</v>
      </c>
      <c r="D23" s="161"/>
      <c r="E23" s="178">
        <v>0</v>
      </c>
      <c r="F23" s="178">
        <v>0</v>
      </c>
      <c r="G23" s="178">
        <v>0</v>
      </c>
      <c r="H23" s="178">
        <v>0</v>
      </c>
      <c r="I23" s="178"/>
      <c r="J23" s="178"/>
      <c r="K23" s="178"/>
      <c r="L23" s="178"/>
      <c r="M23" s="178"/>
      <c r="N23" s="178"/>
      <c r="O23" s="178"/>
    </row>
    <row r="24" spans="1:15" s="93" customFormat="1" ht="15.75">
      <c r="A24" s="161"/>
      <c r="B24" s="161" t="s">
        <v>1464</v>
      </c>
      <c r="C24" s="161" t="s">
        <v>449</v>
      </c>
      <c r="D24" s="161"/>
      <c r="E24" s="178">
        <v>20000</v>
      </c>
      <c r="F24" s="178">
        <v>20000</v>
      </c>
      <c r="G24" s="178">
        <v>20000</v>
      </c>
      <c r="H24" s="178">
        <v>20000</v>
      </c>
      <c r="I24" s="178">
        <v>20000</v>
      </c>
      <c r="J24" s="178">
        <v>289629</v>
      </c>
      <c r="K24" s="178">
        <v>323523</v>
      </c>
      <c r="L24" s="178"/>
      <c r="M24" s="178">
        <v>258430</v>
      </c>
      <c r="N24" s="178"/>
      <c r="O24" s="178">
        <v>371068</v>
      </c>
    </row>
    <row r="25" spans="1:15" s="93" customFormat="1" ht="15.75">
      <c r="A25" s="161"/>
      <c r="B25" s="161" t="s">
        <v>1464</v>
      </c>
      <c r="C25" s="161" t="s">
        <v>1228</v>
      </c>
      <c r="D25" s="161"/>
      <c r="E25" s="178">
        <v>20000</v>
      </c>
      <c r="F25" s="178">
        <v>20000</v>
      </c>
      <c r="G25" s="178">
        <v>20000</v>
      </c>
      <c r="H25" s="178">
        <v>20000</v>
      </c>
      <c r="I25" s="178">
        <v>20000</v>
      </c>
      <c r="J25" s="178">
        <v>0</v>
      </c>
      <c r="K25" s="178">
        <v>0</v>
      </c>
      <c r="L25" s="178"/>
      <c r="M25" s="178">
        <v>0</v>
      </c>
      <c r="N25" s="178"/>
      <c r="O25" s="178">
        <v>0</v>
      </c>
    </row>
    <row r="26" spans="1:15" s="93" customFormat="1" ht="15.75">
      <c r="A26" s="161"/>
      <c r="B26" s="161" t="s">
        <v>1464</v>
      </c>
      <c r="C26" s="161" t="s">
        <v>1270</v>
      </c>
      <c r="D26" s="161"/>
      <c r="E26" s="178">
        <v>20000</v>
      </c>
      <c r="F26" s="178">
        <v>20000</v>
      </c>
      <c r="G26" s="178">
        <v>20000</v>
      </c>
      <c r="H26" s="178">
        <v>20000</v>
      </c>
      <c r="I26" s="178">
        <v>20000</v>
      </c>
      <c r="J26" s="178">
        <v>0</v>
      </c>
      <c r="K26" s="178">
        <v>0</v>
      </c>
      <c r="L26" s="178"/>
      <c r="M26" s="178">
        <v>0</v>
      </c>
      <c r="N26" s="178"/>
      <c r="O26" s="178">
        <v>0</v>
      </c>
    </row>
    <row r="27" spans="1:15" s="93" customFormat="1" ht="15.75">
      <c r="A27" s="161"/>
      <c r="B27" s="161" t="s">
        <v>1511</v>
      </c>
      <c r="C27" s="161" t="s">
        <v>362</v>
      </c>
      <c r="D27" s="161"/>
      <c r="E27" s="178">
        <v>4985.8</v>
      </c>
      <c r="F27" s="178">
        <v>1917.87</v>
      </c>
      <c r="G27" s="178">
        <v>1318.23</v>
      </c>
      <c r="H27" s="178">
        <v>1961.67</v>
      </c>
      <c r="I27" s="178">
        <v>77.8</v>
      </c>
      <c r="J27" s="178">
        <v>353.44</v>
      </c>
      <c r="K27" s="178">
        <v>174</v>
      </c>
      <c r="L27" s="178"/>
      <c r="M27" s="178">
        <v>1409.7</v>
      </c>
      <c r="N27" s="178"/>
      <c r="O27" s="178">
        <v>2500</v>
      </c>
    </row>
    <row r="28" spans="1:15" s="41" customFormat="1" ht="16.5">
      <c r="A28" s="177"/>
      <c r="B28" s="177" t="s">
        <v>469</v>
      </c>
      <c r="C28" s="177"/>
      <c r="D28" s="177"/>
      <c r="E28" s="268">
        <f t="shared" ref="E28:N28" si="5">SUM(E18:E27)</f>
        <v>313031.73</v>
      </c>
      <c r="F28" s="268">
        <f t="shared" si="5"/>
        <v>320822.14999999997</v>
      </c>
      <c r="G28" s="268">
        <f t="shared" si="5"/>
        <v>304750.32999999996</v>
      </c>
      <c r="H28" s="268">
        <f t="shared" si="5"/>
        <v>207457.32</v>
      </c>
      <c r="I28" s="268">
        <f t="shared" si="5"/>
        <v>253163.41999999998</v>
      </c>
      <c r="J28" s="268">
        <f t="shared" si="5"/>
        <v>882571.09999999986</v>
      </c>
      <c r="K28" s="268">
        <f t="shared" si="5"/>
        <v>916797</v>
      </c>
      <c r="L28" s="268">
        <f t="shared" si="5"/>
        <v>0</v>
      </c>
      <c r="M28" s="268">
        <f t="shared" si="5"/>
        <v>841990.6599999998</v>
      </c>
      <c r="N28" s="268">
        <f t="shared" si="5"/>
        <v>0</v>
      </c>
      <c r="O28" s="268">
        <f>SUM(O18:O27)</f>
        <v>1008658</v>
      </c>
    </row>
    <row r="29" spans="1:15" s="93" customFormat="1" ht="15.75">
      <c r="A29" s="161"/>
      <c r="B29" s="161"/>
      <c r="C29" s="161"/>
      <c r="D29" s="161"/>
      <c r="E29" s="189"/>
      <c r="F29" s="189"/>
      <c r="G29" s="189"/>
      <c r="H29" s="189"/>
      <c r="I29" s="189"/>
      <c r="J29" s="189"/>
      <c r="K29" s="178"/>
      <c r="L29" s="178"/>
      <c r="M29" s="178"/>
      <c r="N29" s="178"/>
      <c r="O29" s="178"/>
    </row>
    <row r="30" spans="1:15" s="133" customFormat="1" ht="16.5">
      <c r="A30" s="271"/>
      <c r="B30" s="265" t="s">
        <v>141</v>
      </c>
      <c r="C30" s="265"/>
      <c r="D30" s="265"/>
      <c r="E30" s="272"/>
      <c r="F30" s="272"/>
      <c r="G30" s="272"/>
      <c r="H30" s="272"/>
      <c r="I30" s="272"/>
      <c r="J30" s="272"/>
      <c r="K30" s="273"/>
      <c r="L30" s="273"/>
      <c r="M30" s="273"/>
      <c r="N30" s="273"/>
      <c r="O30" s="273"/>
    </row>
    <row r="31" spans="1:15" s="93" customFormat="1" ht="15.75">
      <c r="A31" s="161"/>
      <c r="B31" s="161" t="s">
        <v>352</v>
      </c>
      <c r="C31" s="161" t="s">
        <v>586</v>
      </c>
      <c r="D31" s="161"/>
      <c r="E31" s="178">
        <v>2580.13</v>
      </c>
      <c r="F31" s="178">
        <v>2582.02</v>
      </c>
      <c r="G31" s="178">
        <v>2437.56</v>
      </c>
      <c r="H31" s="178">
        <v>1453.66</v>
      </c>
      <c r="I31" s="178">
        <v>1930.9</v>
      </c>
      <c r="J31" s="178">
        <v>6007.76</v>
      </c>
      <c r="K31" s="178">
        <v>6000</v>
      </c>
      <c r="L31" s="178"/>
      <c r="M31" s="178">
        <v>5822.19</v>
      </c>
      <c r="N31" s="178"/>
      <c r="O31" s="178">
        <v>6500</v>
      </c>
    </row>
    <row r="32" spans="1:15" s="93" customFormat="1" ht="15.75" hidden="1">
      <c r="A32" s="161"/>
      <c r="B32" s="161" t="s">
        <v>353</v>
      </c>
      <c r="C32" s="161" t="s">
        <v>615</v>
      </c>
      <c r="D32" s="161"/>
      <c r="E32" s="178">
        <v>70000</v>
      </c>
      <c r="F32" s="178">
        <v>80000</v>
      </c>
      <c r="G32" s="178">
        <v>85000</v>
      </c>
      <c r="H32" s="178">
        <v>90000</v>
      </c>
      <c r="I32" s="178">
        <v>105000</v>
      </c>
      <c r="J32" s="178"/>
      <c r="K32" s="178"/>
      <c r="L32" s="178"/>
      <c r="M32" s="178"/>
      <c r="N32" s="178"/>
      <c r="O32" s="178"/>
    </row>
    <row r="33" spans="1:17" s="93" customFormat="1" ht="15.75" hidden="1">
      <c r="A33" s="161"/>
      <c r="B33" s="161" t="s">
        <v>616</v>
      </c>
      <c r="C33" s="161" t="s">
        <v>617</v>
      </c>
      <c r="D33" s="161"/>
      <c r="E33" s="178">
        <v>30700</v>
      </c>
      <c r="F33" s="178">
        <v>26950</v>
      </c>
      <c r="G33" s="178">
        <v>22782.5</v>
      </c>
      <c r="H33" s="178">
        <v>18320</v>
      </c>
      <c r="I33" s="178">
        <v>8450</v>
      </c>
      <c r="J33" s="178"/>
      <c r="K33" s="178"/>
      <c r="L33" s="178"/>
      <c r="M33" s="178"/>
      <c r="N33" s="178"/>
      <c r="O33" s="178"/>
    </row>
    <row r="34" spans="1:17" s="93" customFormat="1" ht="15.75" hidden="1">
      <c r="A34" s="161"/>
      <c r="B34" s="161" t="s">
        <v>0</v>
      </c>
      <c r="C34" s="161" t="s">
        <v>446</v>
      </c>
      <c r="D34" s="161"/>
      <c r="E34" s="178">
        <v>1000</v>
      </c>
      <c r="F34" s="178">
        <v>1000</v>
      </c>
      <c r="G34" s="178">
        <v>1000</v>
      </c>
      <c r="H34" s="178">
        <v>1000</v>
      </c>
      <c r="I34" s="178">
        <v>1000</v>
      </c>
      <c r="J34" s="178"/>
      <c r="K34" s="178"/>
      <c r="L34" s="178"/>
      <c r="M34" s="178"/>
      <c r="N34" s="178"/>
      <c r="O34" s="178"/>
    </row>
    <row r="35" spans="1:17" s="93" customFormat="1" ht="15.75">
      <c r="A35" s="161"/>
      <c r="B35" s="161" t="s">
        <v>450</v>
      </c>
      <c r="C35" s="161" t="s">
        <v>509</v>
      </c>
      <c r="D35" s="161"/>
      <c r="E35" s="178">
        <v>85000</v>
      </c>
      <c r="F35" s="178">
        <v>100000</v>
      </c>
      <c r="G35" s="178">
        <v>120000</v>
      </c>
      <c r="H35" s="178">
        <v>80000</v>
      </c>
      <c r="I35" s="178">
        <v>90000</v>
      </c>
      <c r="J35" s="178">
        <v>135000</v>
      </c>
      <c r="K35" s="178">
        <v>145000</v>
      </c>
      <c r="L35" s="178"/>
      <c r="M35" s="178">
        <v>145000</v>
      </c>
      <c r="N35" s="178"/>
      <c r="O35" s="178">
        <v>150000</v>
      </c>
    </row>
    <row r="36" spans="1:17" s="93" customFormat="1" ht="15.75">
      <c r="A36" s="161"/>
      <c r="B36" s="161" t="s">
        <v>451</v>
      </c>
      <c r="C36" s="161" t="s">
        <v>510</v>
      </c>
      <c r="D36" s="161"/>
      <c r="E36" s="178">
        <v>70840</v>
      </c>
      <c r="F36" s="178">
        <v>67600</v>
      </c>
      <c r="G36" s="178">
        <v>63576</v>
      </c>
      <c r="H36" s="178">
        <v>60064</v>
      </c>
      <c r="I36" s="178">
        <v>54782.66</v>
      </c>
      <c r="J36" s="178">
        <v>18630</v>
      </c>
      <c r="K36" s="178">
        <v>13590</v>
      </c>
      <c r="L36" s="178"/>
      <c r="M36" s="178">
        <v>8100</v>
      </c>
      <c r="N36" s="178"/>
      <c r="O36" s="178">
        <v>8280</v>
      </c>
    </row>
    <row r="37" spans="1:17" s="93" customFormat="1" ht="15.75">
      <c r="A37" s="161"/>
      <c r="B37" s="161" t="s">
        <v>1</v>
      </c>
      <c r="C37" s="161" t="s">
        <v>446</v>
      </c>
      <c r="D37" s="161"/>
      <c r="E37" s="178">
        <v>0</v>
      </c>
      <c r="F37" s="178">
        <v>0</v>
      </c>
      <c r="G37" s="178">
        <v>0</v>
      </c>
      <c r="H37" s="178">
        <v>0</v>
      </c>
      <c r="I37" s="178">
        <v>0</v>
      </c>
      <c r="J37" s="178">
        <v>0</v>
      </c>
      <c r="K37" s="178">
        <v>0</v>
      </c>
      <c r="L37" s="178"/>
      <c r="M37" s="178">
        <v>0</v>
      </c>
      <c r="N37" s="178"/>
      <c r="O37" s="178">
        <v>0</v>
      </c>
    </row>
    <row r="38" spans="1:17" s="93" customFormat="1" ht="15.75">
      <c r="A38" s="161"/>
      <c r="B38" s="161" t="s">
        <v>1070</v>
      </c>
      <c r="C38" s="161" t="s">
        <v>1073</v>
      </c>
      <c r="D38" s="161"/>
      <c r="E38" s="178">
        <v>85000</v>
      </c>
      <c r="F38" s="178">
        <v>100000</v>
      </c>
      <c r="G38" s="178">
        <v>120000</v>
      </c>
      <c r="H38" s="178">
        <v>80000</v>
      </c>
      <c r="I38" s="178"/>
      <c r="J38" s="178">
        <v>145000</v>
      </c>
      <c r="K38" s="178">
        <v>150000</v>
      </c>
      <c r="L38" s="178"/>
      <c r="M38" s="178">
        <v>150000</v>
      </c>
      <c r="N38" s="178"/>
      <c r="O38" s="178">
        <v>155000</v>
      </c>
    </row>
    <row r="39" spans="1:17" s="93" customFormat="1" ht="15.75">
      <c r="A39" s="161"/>
      <c r="B39" s="161" t="s">
        <v>1071</v>
      </c>
      <c r="C39" s="161" t="s">
        <v>1074</v>
      </c>
      <c r="D39" s="161"/>
      <c r="E39" s="178">
        <v>70840</v>
      </c>
      <c r="F39" s="178">
        <v>67600</v>
      </c>
      <c r="G39" s="178">
        <v>63576</v>
      </c>
      <c r="H39" s="178">
        <v>60064</v>
      </c>
      <c r="I39" s="178"/>
      <c r="J39" s="178">
        <v>97629.23</v>
      </c>
      <c r="K39" s="178">
        <v>93713</v>
      </c>
      <c r="L39" s="178"/>
      <c r="M39" s="178">
        <v>47367</v>
      </c>
      <c r="N39" s="178"/>
      <c r="O39" s="178">
        <v>87231</v>
      </c>
    </row>
    <row r="40" spans="1:17" s="93" customFormat="1" ht="15.75">
      <c r="A40" s="161"/>
      <c r="B40" s="161" t="s">
        <v>1072</v>
      </c>
      <c r="C40" s="161" t="s">
        <v>446</v>
      </c>
      <c r="D40" s="161"/>
      <c r="E40" s="178">
        <v>0</v>
      </c>
      <c r="F40" s="178">
        <v>0</v>
      </c>
      <c r="G40" s="178">
        <v>0</v>
      </c>
      <c r="H40" s="178">
        <v>0</v>
      </c>
      <c r="I40" s="178">
        <v>0</v>
      </c>
      <c r="J40" s="178">
        <v>0</v>
      </c>
      <c r="K40" s="178">
        <v>0</v>
      </c>
      <c r="L40" s="178"/>
      <c r="M40" s="178">
        <v>0</v>
      </c>
      <c r="N40" s="178"/>
      <c r="O40" s="178">
        <v>0</v>
      </c>
    </row>
    <row r="41" spans="1:17" s="93" customFormat="1" ht="15.75">
      <c r="A41" s="161"/>
      <c r="B41" s="161" t="s">
        <v>1271</v>
      </c>
      <c r="C41" s="161" t="s">
        <v>1226</v>
      </c>
      <c r="D41" s="161"/>
      <c r="E41" s="178">
        <v>85000</v>
      </c>
      <c r="F41" s="178">
        <v>100000</v>
      </c>
      <c r="G41" s="178">
        <v>120000</v>
      </c>
      <c r="H41" s="178">
        <v>80000</v>
      </c>
      <c r="I41" s="178"/>
      <c r="J41" s="178">
        <v>195000</v>
      </c>
      <c r="K41" s="178">
        <v>235000</v>
      </c>
      <c r="L41" s="178"/>
      <c r="M41" s="178">
        <v>235000</v>
      </c>
      <c r="N41" s="178"/>
      <c r="O41" s="178">
        <v>290000</v>
      </c>
    </row>
    <row r="42" spans="1:17" s="93" customFormat="1" ht="15.75">
      <c r="A42" s="161"/>
      <c r="B42" s="161" t="s">
        <v>1272</v>
      </c>
      <c r="C42" s="161" t="s">
        <v>1227</v>
      </c>
      <c r="D42" s="161"/>
      <c r="E42" s="178">
        <v>70840</v>
      </c>
      <c r="F42" s="178">
        <v>67600</v>
      </c>
      <c r="G42" s="178">
        <v>63576</v>
      </c>
      <c r="H42" s="178">
        <v>60064</v>
      </c>
      <c r="I42" s="178"/>
      <c r="J42" s="178">
        <v>123469</v>
      </c>
      <c r="K42" s="178">
        <v>117363</v>
      </c>
      <c r="L42" s="178"/>
      <c r="M42" s="178">
        <v>60350</v>
      </c>
      <c r="N42" s="178"/>
      <c r="O42" s="178">
        <v>109908</v>
      </c>
      <c r="Q42" s="417"/>
    </row>
    <row r="43" spans="1:17" s="93" customFormat="1" ht="15.75">
      <c r="A43" s="161"/>
      <c r="B43" s="161" t="s">
        <v>1292</v>
      </c>
      <c r="C43" s="161" t="s">
        <v>1295</v>
      </c>
      <c r="D43" s="161"/>
      <c r="E43" s="178"/>
      <c r="F43" s="178"/>
      <c r="G43" s="178"/>
      <c r="H43" s="178"/>
      <c r="I43" s="178"/>
      <c r="J43" s="178">
        <v>140000</v>
      </c>
      <c r="K43" s="178">
        <v>145000</v>
      </c>
      <c r="L43" s="178"/>
      <c r="M43" s="178">
        <v>145000</v>
      </c>
      <c r="N43" s="178"/>
      <c r="O43" s="178">
        <v>150000</v>
      </c>
    </row>
    <row r="44" spans="1:17" s="93" customFormat="1" ht="15.75">
      <c r="A44" s="161"/>
      <c r="B44" s="161" t="s">
        <v>1294</v>
      </c>
      <c r="C44" s="161" t="s">
        <v>1293</v>
      </c>
      <c r="D44" s="161"/>
      <c r="E44" s="178"/>
      <c r="F44" s="178"/>
      <c r="G44" s="178"/>
      <c r="H44" s="178"/>
      <c r="I44" s="178"/>
      <c r="J44" s="178">
        <v>15236</v>
      </c>
      <c r="K44" s="178">
        <v>11061</v>
      </c>
      <c r="L44" s="178"/>
      <c r="M44" s="178">
        <v>6592.5</v>
      </c>
      <c r="N44" s="178"/>
      <c r="O44" s="178">
        <v>6739</v>
      </c>
    </row>
    <row r="45" spans="1:17" s="93" customFormat="1" ht="15.75">
      <c r="A45" s="161"/>
      <c r="B45" s="161" t="s">
        <v>1520</v>
      </c>
      <c r="C45" s="161" t="s">
        <v>1521</v>
      </c>
      <c r="D45" s="161"/>
      <c r="E45" s="178"/>
      <c r="F45" s="178"/>
      <c r="G45" s="178"/>
      <c r="H45" s="178"/>
      <c r="I45" s="178"/>
      <c r="J45" s="178">
        <v>0</v>
      </c>
      <c r="K45" s="178">
        <v>0</v>
      </c>
      <c r="L45" s="178"/>
      <c r="M45" s="178">
        <v>45000</v>
      </c>
      <c r="N45" s="178"/>
      <c r="O45" s="178">
        <v>45000</v>
      </c>
    </row>
    <row r="46" spans="1:17" s="93" customFormat="1" ht="15.75">
      <c r="A46" s="161"/>
      <c r="B46" s="161" t="s">
        <v>1516</v>
      </c>
      <c r="C46" s="161" t="s">
        <v>462</v>
      </c>
      <c r="D46" s="161"/>
      <c r="E46" s="178"/>
      <c r="F46" s="178"/>
      <c r="G46" s="178"/>
      <c r="H46" s="178"/>
      <c r="I46" s="178"/>
      <c r="J46" s="178">
        <v>0</v>
      </c>
      <c r="K46" s="178">
        <v>0</v>
      </c>
      <c r="L46" s="178"/>
      <c r="M46" s="178">
        <v>1603.36</v>
      </c>
      <c r="N46" s="178"/>
      <c r="O46" s="178">
        <v>0</v>
      </c>
    </row>
    <row r="47" spans="1:17" s="93" customFormat="1" ht="15.75">
      <c r="A47" s="161"/>
      <c r="B47" s="161"/>
      <c r="C47" s="161"/>
      <c r="D47" s="161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</row>
    <row r="48" spans="1:17" s="41" customFormat="1" ht="16.5">
      <c r="A48" s="177"/>
      <c r="B48" s="177" t="s">
        <v>144</v>
      </c>
      <c r="C48" s="177"/>
      <c r="D48" s="177"/>
      <c r="E48" s="268">
        <f t="shared" ref="E48:O48" si="6">SUM(E31:E47)</f>
        <v>571800.13</v>
      </c>
      <c r="F48" s="268">
        <f t="shared" si="6"/>
        <v>613332.02</v>
      </c>
      <c r="G48" s="268">
        <f t="shared" si="6"/>
        <v>661948.06000000006</v>
      </c>
      <c r="H48" s="268">
        <f t="shared" si="6"/>
        <v>530965.66</v>
      </c>
      <c r="I48" s="268">
        <f t="shared" si="6"/>
        <v>261163.56</v>
      </c>
      <c r="J48" s="268">
        <f t="shared" si="6"/>
        <v>875971.99</v>
      </c>
      <c r="K48" s="268">
        <f t="shared" si="6"/>
        <v>916727</v>
      </c>
      <c r="L48" s="268">
        <f t="shared" si="6"/>
        <v>0</v>
      </c>
      <c r="M48" s="268">
        <f t="shared" si="6"/>
        <v>849835.04999999993</v>
      </c>
      <c r="N48" s="268">
        <f t="shared" si="6"/>
        <v>0</v>
      </c>
      <c r="O48" s="268">
        <f t="shared" si="6"/>
        <v>1008658</v>
      </c>
    </row>
    <row r="49" spans="5:15" s="93" customFormat="1" ht="15.75">
      <c r="E49" s="274"/>
      <c r="F49" s="274"/>
      <c r="G49" s="274"/>
      <c r="H49" s="274"/>
      <c r="I49" s="274"/>
      <c r="J49" s="274"/>
      <c r="K49" s="274"/>
      <c r="L49" s="101"/>
      <c r="M49" s="101"/>
      <c r="N49" s="101"/>
      <c r="O49" s="101"/>
    </row>
    <row r="50" spans="5:15" s="93" customFormat="1" ht="15.75">
      <c r="E50" s="274"/>
      <c r="F50" s="274"/>
      <c r="G50" s="274"/>
      <c r="H50" s="274"/>
      <c r="I50" s="274"/>
      <c r="J50" s="274"/>
      <c r="K50" s="274"/>
      <c r="L50" s="101"/>
      <c r="M50" s="101"/>
      <c r="N50" s="101"/>
      <c r="O50" s="101"/>
    </row>
  </sheetData>
  <sortState ref="B18:O27">
    <sortCondition ref="B18:B27"/>
  </sortState>
  <mergeCells count="5">
    <mergeCell ref="K5:M5"/>
    <mergeCell ref="N5:O5"/>
    <mergeCell ref="A1:O1"/>
    <mergeCell ref="A2:O2"/>
    <mergeCell ref="A3:O3"/>
  </mergeCells>
  <phoneticPr fontId="0" type="noConversion"/>
  <printOptions horizontalCentered="1"/>
  <pageMargins left="0.7" right="0.7" top="0.75" bottom="0.75" header="0.3" footer="0.3"/>
  <pageSetup scale="59" firstPageNumber="37" orientation="portrait" useFirstPageNumber="1" r:id="rId1"/>
  <headerFooter alignWithMargins="0"/>
  <rowBreaks count="1" manualBreakCount="1">
    <brk id="4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105"/>
  <sheetViews>
    <sheetView topLeftCell="A20" zoomScaleNormal="100" zoomScaleSheetLayoutView="75" zoomScalePageLayoutView="84" workbookViewId="0">
      <selection activeCell="A18" sqref="A18:P31"/>
    </sheetView>
  </sheetViews>
  <sheetFormatPr defaultColWidth="9.140625" defaultRowHeight="14.25"/>
  <cols>
    <col min="1" max="1" width="13.7109375" style="154" customWidth="1"/>
    <col min="2" max="2" width="2.7109375" style="154" customWidth="1"/>
    <col min="3" max="3" width="50.7109375" style="154" customWidth="1"/>
    <col min="4" max="5" width="16.7109375" style="156" hidden="1" customWidth="1"/>
    <col min="6" max="6" width="14.28515625" style="156" hidden="1" customWidth="1"/>
    <col min="7" max="11" width="22.7109375" style="156" hidden="1" customWidth="1"/>
    <col min="12" max="13" width="22.7109375" style="156" customWidth="1"/>
    <col min="14" max="14" width="22.7109375" style="156" hidden="1" customWidth="1"/>
    <col min="15" max="16" width="22.7109375" style="156" customWidth="1"/>
    <col min="17" max="17" width="14.7109375" style="154" hidden="1" customWidth="1"/>
    <col min="18" max="16384" width="9.140625" style="154"/>
  </cols>
  <sheetData>
    <row r="1" spans="1:24" ht="18">
      <c r="A1" s="421" t="s">
        <v>48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</row>
    <row r="2" spans="1:24" ht="18.75">
      <c r="A2" s="421" t="s">
        <v>1334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</row>
    <row r="3" spans="1:24" ht="18">
      <c r="A3" s="421" t="s">
        <v>1513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157"/>
      <c r="S3" s="157"/>
      <c r="T3" s="157"/>
      <c r="U3" s="158"/>
      <c r="V3" s="239"/>
      <c r="W3" s="239"/>
      <c r="X3" s="240"/>
    </row>
    <row r="4" spans="1:24" ht="16.5" thickBot="1">
      <c r="A4" s="161"/>
      <c r="B4" s="161"/>
      <c r="C4" s="208"/>
      <c r="D4" s="208"/>
      <c r="E4" s="208"/>
      <c r="F4" s="208"/>
      <c r="G4" s="209"/>
      <c r="H4" s="209"/>
      <c r="I4" s="209"/>
      <c r="J4" s="209"/>
      <c r="K4" s="209"/>
      <c r="L4" s="208"/>
      <c r="M4" s="208"/>
      <c r="N4" s="208"/>
      <c r="O4" s="208"/>
      <c r="P4" s="208"/>
    </row>
    <row r="5" spans="1:24" ht="17.25" thickTop="1" thickBot="1">
      <c r="A5" s="161"/>
      <c r="B5" s="161"/>
      <c r="C5" s="161"/>
      <c r="D5" s="210" t="s">
        <v>19</v>
      </c>
      <c r="E5" s="210" t="s">
        <v>147</v>
      </c>
      <c r="F5" s="210" t="s">
        <v>460</v>
      </c>
      <c r="G5" s="176" t="s">
        <v>618</v>
      </c>
      <c r="H5" s="176" t="s">
        <v>619</v>
      </c>
      <c r="I5" s="176" t="s">
        <v>705</v>
      </c>
      <c r="J5" s="176" t="s">
        <v>766</v>
      </c>
      <c r="K5" s="176" t="s">
        <v>938</v>
      </c>
      <c r="L5" s="211" t="s">
        <v>1385</v>
      </c>
      <c r="M5" s="429" t="s">
        <v>1415</v>
      </c>
      <c r="N5" s="429"/>
      <c r="O5" s="429"/>
      <c r="P5" s="426" t="s">
        <v>1515</v>
      </c>
      <c r="Q5" s="426"/>
    </row>
    <row r="6" spans="1:24" ht="21.75" thickTop="1" thickBot="1">
      <c r="A6" s="161"/>
      <c r="B6" s="161"/>
      <c r="C6" s="161"/>
      <c r="D6" s="212" t="s">
        <v>354</v>
      </c>
      <c r="E6" s="212" t="s">
        <v>459</v>
      </c>
      <c r="F6" s="212" t="s">
        <v>459</v>
      </c>
      <c r="G6" s="213" t="s">
        <v>354</v>
      </c>
      <c r="H6" s="213" t="s">
        <v>354</v>
      </c>
      <c r="I6" s="213" t="s">
        <v>354</v>
      </c>
      <c r="J6" s="213" t="s">
        <v>354</v>
      </c>
      <c r="K6" s="213" t="s">
        <v>354</v>
      </c>
      <c r="L6" s="214" t="s">
        <v>354</v>
      </c>
      <c r="M6" s="214" t="s">
        <v>459</v>
      </c>
      <c r="N6" s="236" t="s">
        <v>1098</v>
      </c>
      <c r="O6" s="214" t="s">
        <v>722</v>
      </c>
      <c r="P6" s="214" t="s">
        <v>1242</v>
      </c>
      <c r="Q6" s="214" t="s">
        <v>725</v>
      </c>
    </row>
    <row r="7" spans="1:24" ht="16.5" thickTop="1">
      <c r="A7" s="161"/>
      <c r="B7" s="161"/>
      <c r="C7" s="177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1"/>
    </row>
    <row r="8" spans="1:24" ht="15.75">
      <c r="A8" s="161"/>
      <c r="B8" s="428" t="s">
        <v>1384</v>
      </c>
      <c r="C8" s="428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1"/>
    </row>
    <row r="9" spans="1:24" ht="15">
      <c r="A9" s="161"/>
      <c r="B9" s="161"/>
      <c r="C9" s="161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1"/>
    </row>
    <row r="10" spans="1:24" ht="15">
      <c r="A10" s="161" t="s">
        <v>1466</v>
      </c>
      <c r="B10" s="161"/>
      <c r="C10" s="161" t="s">
        <v>362</v>
      </c>
      <c r="D10" s="220">
        <v>81.88</v>
      </c>
      <c r="E10" s="221">
        <v>0</v>
      </c>
      <c r="F10" s="222">
        <v>11500</v>
      </c>
      <c r="G10" s="165">
        <v>3773</v>
      </c>
      <c r="H10" s="165">
        <v>170.92</v>
      </c>
      <c r="I10" s="165">
        <v>222.78</v>
      </c>
      <c r="J10" s="165">
        <v>203.97</v>
      </c>
      <c r="K10" s="165">
        <v>15.62</v>
      </c>
      <c r="L10" s="165">
        <v>78.69</v>
      </c>
      <c r="M10" s="165">
        <v>44</v>
      </c>
      <c r="N10" s="165"/>
      <c r="O10" s="165">
        <v>170</v>
      </c>
      <c r="P10" s="165">
        <v>50</v>
      </c>
      <c r="Q10" s="219">
        <f>(P10-M10)/M10</f>
        <v>0.13636363636363635</v>
      </c>
    </row>
    <row r="11" spans="1:24" ht="15">
      <c r="A11" s="161" t="s">
        <v>1465</v>
      </c>
      <c r="B11" s="161"/>
      <c r="C11" s="161" t="s">
        <v>798</v>
      </c>
      <c r="D11" s="215">
        <v>109887.81</v>
      </c>
      <c r="E11" s="216">
        <v>102500</v>
      </c>
      <c r="F11" s="217">
        <v>94000</v>
      </c>
      <c r="G11" s="218">
        <v>124464</v>
      </c>
      <c r="H11" s="218">
        <v>40422</v>
      </c>
      <c r="I11" s="218">
        <v>36718.94</v>
      </c>
      <c r="J11" s="218">
        <v>48245.46</v>
      </c>
      <c r="K11" s="218">
        <v>51356.52</v>
      </c>
      <c r="L11" s="218">
        <v>63325.72</v>
      </c>
      <c r="M11" s="218">
        <v>71494</v>
      </c>
      <c r="N11" s="218"/>
      <c r="O11" s="218">
        <v>71494</v>
      </c>
      <c r="P11" s="218">
        <v>79718</v>
      </c>
      <c r="Q11" s="219">
        <v>0</v>
      </c>
    </row>
    <row r="12" spans="1:24" ht="15">
      <c r="A12" s="161"/>
      <c r="B12" s="161"/>
      <c r="C12" s="161"/>
      <c r="D12" s="178"/>
      <c r="E12" s="178"/>
      <c r="F12" s="178">
        <v>1050</v>
      </c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219"/>
    </row>
    <row r="13" spans="1:24" ht="15.75">
      <c r="A13" s="161"/>
      <c r="B13" s="177" t="s">
        <v>486</v>
      </c>
      <c r="D13" s="241">
        <f>SUM(D10:D11)</f>
        <v>109969.69</v>
      </c>
      <c r="E13" s="241">
        <f>SUM(E10:E12)</f>
        <v>102500</v>
      </c>
      <c r="F13" s="241">
        <f>SUM(F10:F11)</f>
        <v>105500</v>
      </c>
      <c r="G13" s="241">
        <f t="shared" ref="G13:P13" si="0">SUM(G10:G12)</f>
        <v>128237</v>
      </c>
      <c r="H13" s="241">
        <f t="shared" si="0"/>
        <v>40592.92</v>
      </c>
      <c r="I13" s="191">
        <f t="shared" si="0"/>
        <v>36941.72</v>
      </c>
      <c r="J13" s="191">
        <f t="shared" si="0"/>
        <v>48449.43</v>
      </c>
      <c r="K13" s="191">
        <f t="shared" si="0"/>
        <v>51372.14</v>
      </c>
      <c r="L13" s="242">
        <f t="shared" si="0"/>
        <v>63404.41</v>
      </c>
      <c r="M13" s="242">
        <f t="shared" si="0"/>
        <v>71538</v>
      </c>
      <c r="N13" s="242">
        <f t="shared" si="0"/>
        <v>0</v>
      </c>
      <c r="O13" s="242">
        <f t="shared" si="0"/>
        <v>71664</v>
      </c>
      <c r="P13" s="242">
        <f t="shared" si="0"/>
        <v>79768</v>
      </c>
      <c r="Q13" s="243">
        <f>(P13-M13)/M13</f>
        <v>0.11504375297044928</v>
      </c>
    </row>
    <row r="14" spans="1:24" ht="15">
      <c r="A14" s="161"/>
      <c r="B14" s="161"/>
      <c r="C14" s="161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61"/>
    </row>
    <row r="15" spans="1:24" ht="15">
      <c r="A15" s="161"/>
      <c r="B15" s="161"/>
      <c r="C15" s="161"/>
      <c r="D15" s="244"/>
      <c r="E15" s="244"/>
      <c r="F15" s="244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61"/>
    </row>
    <row r="16" spans="1:24" ht="15">
      <c r="A16" s="161"/>
      <c r="B16" s="161"/>
      <c r="C16" s="161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61"/>
    </row>
    <row r="17" spans="1:17" ht="15.75">
      <c r="A17" s="161"/>
      <c r="B17" s="428" t="s">
        <v>141</v>
      </c>
      <c r="C17" s="42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61"/>
    </row>
    <row r="18" spans="1:17" s="161" customFormat="1" ht="15.75" customHeight="1">
      <c r="A18" s="161" t="s">
        <v>818</v>
      </c>
      <c r="C18" s="161" t="s">
        <v>593</v>
      </c>
      <c r="E18" s="162">
        <v>314795</v>
      </c>
      <c r="F18" s="162"/>
      <c r="G18" s="163"/>
      <c r="H18" s="161">
        <v>17965.990000000002</v>
      </c>
      <c r="I18" s="178">
        <v>18506.98</v>
      </c>
      <c r="J18" s="178">
        <v>19859.78</v>
      </c>
      <c r="K18" s="178">
        <v>20446.439999999999</v>
      </c>
      <c r="L18" s="178">
        <v>42698.92</v>
      </c>
      <c r="M18" s="178">
        <v>44562</v>
      </c>
      <c r="N18" s="178"/>
      <c r="O18" s="178">
        <v>44562</v>
      </c>
      <c r="P18" s="178">
        <v>46336</v>
      </c>
      <c r="Q18" s="219">
        <f t="shared" ref="Q18:Q37" si="1">(P18-M18)/M18</f>
        <v>3.9809703334679772E-2</v>
      </c>
    </row>
    <row r="19" spans="1:17" s="161" customFormat="1" ht="15.75" hidden="1" customHeight="1">
      <c r="A19" s="161" t="s">
        <v>835</v>
      </c>
      <c r="C19" s="161" t="s">
        <v>836</v>
      </c>
      <c r="E19" s="162">
        <v>314795</v>
      </c>
      <c r="F19" s="162"/>
      <c r="G19" s="163"/>
      <c r="H19" s="161">
        <v>0</v>
      </c>
      <c r="I19" s="178">
        <v>0</v>
      </c>
      <c r="J19" s="178">
        <v>7800</v>
      </c>
      <c r="K19" s="178">
        <v>7800</v>
      </c>
      <c r="L19" s="178"/>
      <c r="M19" s="178"/>
      <c r="N19" s="178"/>
      <c r="O19" s="178"/>
      <c r="P19" s="178"/>
      <c r="Q19" s="219">
        <v>0</v>
      </c>
    </row>
    <row r="20" spans="1:17" s="161" customFormat="1" ht="15.75" customHeight="1">
      <c r="A20" s="161" t="s">
        <v>819</v>
      </c>
      <c r="C20" s="161" t="s">
        <v>280</v>
      </c>
      <c r="E20" s="162">
        <v>314795</v>
      </c>
      <c r="F20" s="162"/>
      <c r="G20" s="163"/>
      <c r="H20" s="161">
        <v>3.22</v>
      </c>
      <c r="I20" s="178">
        <v>26.49</v>
      </c>
      <c r="J20" s="178">
        <v>0</v>
      </c>
      <c r="K20" s="178">
        <v>3.67</v>
      </c>
      <c r="L20" s="178">
        <v>173.9</v>
      </c>
      <c r="M20" s="178">
        <v>250</v>
      </c>
      <c r="N20" s="178"/>
      <c r="O20" s="178">
        <v>250</v>
      </c>
      <c r="P20" s="178">
        <v>250</v>
      </c>
      <c r="Q20" s="219">
        <v>0</v>
      </c>
    </row>
    <row r="21" spans="1:17" s="161" customFormat="1" ht="15.75" customHeight="1">
      <c r="A21" s="161" t="s">
        <v>820</v>
      </c>
      <c r="C21" s="161" t="s">
        <v>66</v>
      </c>
      <c r="E21" s="162"/>
      <c r="F21" s="162"/>
      <c r="G21" s="163"/>
      <c r="H21" s="161">
        <v>1104.96</v>
      </c>
      <c r="I21" s="178">
        <v>1136.43</v>
      </c>
      <c r="J21" s="178">
        <v>1231.93</v>
      </c>
      <c r="K21" s="178">
        <v>1247.93</v>
      </c>
      <c r="L21" s="178">
        <v>2619.33</v>
      </c>
      <c r="M21" s="178">
        <v>2778</v>
      </c>
      <c r="N21" s="178"/>
      <c r="O21" s="178">
        <v>2723</v>
      </c>
      <c r="P21" s="178">
        <v>2889</v>
      </c>
      <c r="Q21" s="219">
        <f t="shared" si="1"/>
        <v>3.9956803455723541E-2</v>
      </c>
    </row>
    <row r="22" spans="1:17" s="161" customFormat="1" ht="15.75" customHeight="1">
      <c r="A22" s="161" t="s">
        <v>821</v>
      </c>
      <c r="C22" s="161" t="s">
        <v>67</v>
      </c>
      <c r="E22" s="162"/>
      <c r="F22" s="162"/>
      <c r="G22" s="163"/>
      <c r="H22" s="161">
        <v>258.45</v>
      </c>
      <c r="I22" s="178">
        <v>265.74</v>
      </c>
      <c r="J22" s="178">
        <v>288.08999999999997</v>
      </c>
      <c r="K22" s="178">
        <v>291.93</v>
      </c>
      <c r="L22" s="178">
        <v>612.59</v>
      </c>
      <c r="M22" s="178">
        <v>650</v>
      </c>
      <c r="N22" s="178"/>
      <c r="O22" s="178">
        <v>637</v>
      </c>
      <c r="P22" s="178">
        <v>675</v>
      </c>
      <c r="Q22" s="219">
        <f t="shared" si="1"/>
        <v>3.8461538461538464E-2</v>
      </c>
    </row>
    <row r="23" spans="1:17" s="161" customFormat="1" ht="15.75" customHeight="1">
      <c r="A23" s="161" t="s">
        <v>822</v>
      </c>
      <c r="C23" s="161" t="s">
        <v>68</v>
      </c>
      <c r="E23" s="162">
        <v>63302</v>
      </c>
      <c r="F23" s="162"/>
      <c r="G23" s="163"/>
      <c r="H23" s="161">
        <v>4848</v>
      </c>
      <c r="I23" s="178">
        <v>5093</v>
      </c>
      <c r="J23" s="178">
        <v>5188</v>
      </c>
      <c r="K23" s="178">
        <v>6582.72</v>
      </c>
      <c r="L23" s="178">
        <v>8003.4</v>
      </c>
      <c r="M23" s="178">
        <v>8257</v>
      </c>
      <c r="N23" s="178"/>
      <c r="O23" s="178">
        <v>9200</v>
      </c>
      <c r="P23" s="178">
        <v>8918</v>
      </c>
      <c r="Q23" s="219">
        <f t="shared" si="1"/>
        <v>8.0053288119171617E-2</v>
      </c>
    </row>
    <row r="24" spans="1:17" s="161" customFormat="1" ht="15.75" customHeight="1">
      <c r="A24" s="161" t="s">
        <v>823</v>
      </c>
      <c r="C24" s="161" t="s">
        <v>69</v>
      </c>
      <c r="E24" s="162"/>
      <c r="F24" s="162"/>
      <c r="G24" s="163"/>
      <c r="H24" s="161">
        <v>134.56</v>
      </c>
      <c r="I24" s="178">
        <v>92.67</v>
      </c>
      <c r="J24" s="178">
        <v>72</v>
      </c>
      <c r="K24" s="178">
        <v>118.73</v>
      </c>
      <c r="L24" s="178">
        <v>240.77</v>
      </c>
      <c r="M24" s="178">
        <v>378</v>
      </c>
      <c r="N24" s="178"/>
      <c r="O24" s="178">
        <v>20</v>
      </c>
      <c r="P24" s="178">
        <v>135</v>
      </c>
      <c r="Q24" s="219">
        <f t="shared" si="1"/>
        <v>-0.6428571428571429</v>
      </c>
    </row>
    <row r="25" spans="1:17" s="161" customFormat="1" ht="15.75" customHeight="1">
      <c r="A25" s="161" t="s">
        <v>824</v>
      </c>
      <c r="C25" s="161" t="s">
        <v>70</v>
      </c>
      <c r="E25" s="162"/>
      <c r="F25" s="162"/>
      <c r="G25" s="163"/>
      <c r="H25" s="161">
        <v>649.70000000000005</v>
      </c>
      <c r="I25" s="178">
        <v>600.62</v>
      </c>
      <c r="J25" s="178">
        <v>674.96</v>
      </c>
      <c r="K25" s="178">
        <v>245.38</v>
      </c>
      <c r="L25" s="178">
        <v>3175.44</v>
      </c>
      <c r="M25" s="178">
        <v>3311</v>
      </c>
      <c r="N25" s="178"/>
      <c r="O25" s="178">
        <v>3150</v>
      </c>
      <c r="P25" s="178">
        <v>3266</v>
      </c>
      <c r="Q25" s="219">
        <f t="shared" si="1"/>
        <v>-1.3591060102688009E-2</v>
      </c>
    </row>
    <row r="26" spans="1:17" s="161" customFormat="1" ht="15.75" customHeight="1">
      <c r="A26" s="161" t="s">
        <v>825</v>
      </c>
      <c r="C26" s="161" t="s">
        <v>83</v>
      </c>
      <c r="E26" s="162"/>
      <c r="F26" s="162"/>
      <c r="G26" s="163"/>
      <c r="H26" s="161">
        <v>90.04</v>
      </c>
      <c r="I26" s="178">
        <v>93.47</v>
      </c>
      <c r="J26" s="178">
        <v>60.41</v>
      </c>
      <c r="K26" s="178">
        <v>51.81</v>
      </c>
      <c r="L26" s="178">
        <v>101.47</v>
      </c>
      <c r="M26" s="178">
        <v>104</v>
      </c>
      <c r="N26" s="178"/>
      <c r="O26" s="178">
        <v>104</v>
      </c>
      <c r="P26" s="178">
        <v>110</v>
      </c>
      <c r="Q26" s="219">
        <f t="shared" si="1"/>
        <v>5.7692307692307696E-2</v>
      </c>
    </row>
    <row r="27" spans="1:17" s="161" customFormat="1" ht="15.75" customHeight="1">
      <c r="A27" s="161" t="s">
        <v>826</v>
      </c>
      <c r="C27" s="161" t="s">
        <v>251</v>
      </c>
      <c r="E27" s="162"/>
      <c r="F27" s="162"/>
      <c r="G27" s="163"/>
      <c r="H27" s="161">
        <v>88.19</v>
      </c>
      <c r="I27" s="178">
        <v>88.29</v>
      </c>
      <c r="J27" s="178">
        <v>81.63</v>
      </c>
      <c r="K27" s="178">
        <v>79.95</v>
      </c>
      <c r="L27" s="178">
        <v>67.5</v>
      </c>
      <c r="M27" s="178">
        <v>65</v>
      </c>
      <c r="N27" s="178"/>
      <c r="O27" s="178">
        <v>65</v>
      </c>
      <c r="P27" s="178">
        <v>61</v>
      </c>
      <c r="Q27" s="219">
        <f t="shared" si="1"/>
        <v>-6.1538461538461542E-2</v>
      </c>
    </row>
    <row r="28" spans="1:17" ht="15">
      <c r="A28" s="161" t="s">
        <v>827</v>
      </c>
      <c r="B28" s="161"/>
      <c r="C28" s="161" t="s">
        <v>390</v>
      </c>
      <c r="D28" s="220">
        <v>185.6</v>
      </c>
      <c r="E28" s="221">
        <v>300</v>
      </c>
      <c r="F28" s="222">
        <v>200</v>
      </c>
      <c r="G28" s="165">
        <v>692</v>
      </c>
      <c r="H28" s="165">
        <v>113.38</v>
      </c>
      <c r="I28" s="165">
        <v>130.99</v>
      </c>
      <c r="J28" s="165">
        <v>836.89</v>
      </c>
      <c r="K28" s="165">
        <v>1904.78</v>
      </c>
      <c r="L28" s="165">
        <v>193.44</v>
      </c>
      <c r="M28" s="165">
        <v>28</v>
      </c>
      <c r="N28" s="165"/>
      <c r="O28" s="165">
        <v>28</v>
      </c>
      <c r="P28" s="165">
        <v>3039</v>
      </c>
      <c r="Q28" s="219">
        <f>(P28-M28)/M28</f>
        <v>107.53571428571429</v>
      </c>
    </row>
    <row r="29" spans="1:17" ht="15" hidden="1">
      <c r="A29" s="161" t="s">
        <v>987</v>
      </c>
      <c r="B29" s="161"/>
      <c r="C29" s="161" t="s">
        <v>988</v>
      </c>
      <c r="D29" s="220">
        <v>185.6</v>
      </c>
      <c r="E29" s="221">
        <v>300</v>
      </c>
      <c r="F29" s="222">
        <v>200</v>
      </c>
      <c r="G29" s="165">
        <v>692</v>
      </c>
      <c r="H29" s="165">
        <v>113.38</v>
      </c>
      <c r="I29" s="165">
        <v>130.99</v>
      </c>
      <c r="J29" s="165">
        <v>0</v>
      </c>
      <c r="K29" s="165">
        <v>397.84</v>
      </c>
      <c r="L29" s="165"/>
      <c r="M29" s="165"/>
      <c r="N29" s="165"/>
      <c r="O29" s="165"/>
      <c r="P29" s="165"/>
      <c r="Q29" s="219">
        <v>0</v>
      </c>
    </row>
    <row r="30" spans="1:17" ht="15">
      <c r="A30" s="161" t="s">
        <v>828</v>
      </c>
      <c r="B30" s="161"/>
      <c r="C30" s="161" t="s">
        <v>385</v>
      </c>
      <c r="D30" s="220">
        <v>3741.35</v>
      </c>
      <c r="E30" s="221">
        <v>5000</v>
      </c>
      <c r="F30" s="222">
        <v>1000</v>
      </c>
      <c r="G30" s="165">
        <v>9000</v>
      </c>
      <c r="H30" s="165">
        <v>1154.47</v>
      </c>
      <c r="I30" s="165">
        <v>1215.06</v>
      </c>
      <c r="J30" s="165">
        <v>1326.03</v>
      </c>
      <c r="K30" s="165">
        <v>1430.14</v>
      </c>
      <c r="L30" s="165">
        <v>1102.5999999999999</v>
      </c>
      <c r="M30" s="165">
        <v>1050</v>
      </c>
      <c r="N30" s="165"/>
      <c r="O30" s="165">
        <v>1650</v>
      </c>
      <c r="P30" s="165">
        <v>1527</v>
      </c>
      <c r="Q30" s="219">
        <f t="shared" si="1"/>
        <v>0.45428571428571429</v>
      </c>
    </row>
    <row r="31" spans="1:17" ht="15">
      <c r="A31" s="161" t="s">
        <v>830</v>
      </c>
      <c r="B31" s="161"/>
      <c r="C31" s="161" t="s">
        <v>384</v>
      </c>
      <c r="D31" s="220">
        <v>208.08</v>
      </c>
      <c r="E31" s="221"/>
      <c r="F31" s="222"/>
      <c r="G31" s="165">
        <v>345</v>
      </c>
      <c r="H31" s="165">
        <v>5875.68</v>
      </c>
      <c r="I31" s="165">
        <v>5629.39</v>
      </c>
      <c r="J31" s="165">
        <v>5690.8</v>
      </c>
      <c r="K31" s="165">
        <v>4914.7700000000004</v>
      </c>
      <c r="L31" s="165">
        <v>4348.6099999999997</v>
      </c>
      <c r="M31" s="165">
        <v>4400</v>
      </c>
      <c r="N31" s="165"/>
      <c r="O31" s="165">
        <v>4100</v>
      </c>
      <c r="P31" s="165">
        <v>4100</v>
      </c>
      <c r="Q31" s="219">
        <f>(P31-M31)/M31</f>
        <v>-6.8181818181818177E-2</v>
      </c>
    </row>
    <row r="32" spans="1:17" ht="15">
      <c r="A32" s="161" t="s">
        <v>1275</v>
      </c>
      <c r="B32" s="161"/>
      <c r="C32" s="161" t="s">
        <v>1396</v>
      </c>
      <c r="D32" s="220">
        <v>208.08</v>
      </c>
      <c r="E32" s="221"/>
      <c r="F32" s="222"/>
      <c r="G32" s="165">
        <v>345</v>
      </c>
      <c r="H32" s="165">
        <v>5875.68</v>
      </c>
      <c r="I32" s="165">
        <v>5629.39</v>
      </c>
      <c r="J32" s="165">
        <v>5690.8</v>
      </c>
      <c r="K32" s="165">
        <v>4914.7700000000004</v>
      </c>
      <c r="L32" s="165">
        <v>632.53</v>
      </c>
      <c r="M32" s="165">
        <v>630</v>
      </c>
      <c r="N32" s="165"/>
      <c r="O32" s="165">
        <v>630</v>
      </c>
      <c r="P32" s="165">
        <v>630</v>
      </c>
      <c r="Q32" s="219">
        <v>0</v>
      </c>
    </row>
    <row r="33" spans="1:20" ht="15">
      <c r="A33" s="161" t="s">
        <v>831</v>
      </c>
      <c r="B33" s="161"/>
      <c r="C33" s="161" t="s">
        <v>1397</v>
      </c>
      <c r="D33" s="220">
        <v>0</v>
      </c>
      <c r="E33" s="221">
        <v>0</v>
      </c>
      <c r="F33" s="222">
        <v>7500</v>
      </c>
      <c r="G33" s="165">
        <v>0</v>
      </c>
      <c r="H33" s="165">
        <v>933.03</v>
      </c>
      <c r="I33" s="165">
        <v>1639.47</v>
      </c>
      <c r="J33" s="165">
        <v>1929.26</v>
      </c>
      <c r="K33" s="165">
        <v>2827.61</v>
      </c>
      <c r="L33" s="165">
        <v>1683.99</v>
      </c>
      <c r="M33" s="165">
        <v>1800</v>
      </c>
      <c r="N33" s="165"/>
      <c r="O33" s="165">
        <v>1500</v>
      </c>
      <c r="P33" s="165">
        <v>1500</v>
      </c>
      <c r="Q33" s="219">
        <f t="shared" si="1"/>
        <v>-0.16666666666666666</v>
      </c>
    </row>
    <row r="34" spans="1:20" s="160" customFormat="1" ht="15">
      <c r="A34" s="161" t="s">
        <v>834</v>
      </c>
      <c r="B34" s="161"/>
      <c r="C34" s="160" t="s">
        <v>1398</v>
      </c>
      <c r="E34" s="165"/>
      <c r="F34" s="165">
        <v>15380</v>
      </c>
      <c r="G34" s="165"/>
      <c r="H34" s="165">
        <v>0</v>
      </c>
      <c r="I34" s="165">
        <v>0</v>
      </c>
      <c r="J34" s="165">
        <v>664.38</v>
      </c>
      <c r="K34" s="165">
        <v>29.59</v>
      </c>
      <c r="L34" s="165">
        <v>932.5</v>
      </c>
      <c r="M34" s="165">
        <v>732</v>
      </c>
      <c r="N34" s="165"/>
      <c r="O34" s="165">
        <v>732</v>
      </c>
      <c r="P34" s="165">
        <v>732</v>
      </c>
      <c r="Q34" s="219">
        <f t="shared" si="1"/>
        <v>0</v>
      </c>
      <c r="R34" s="162"/>
      <c r="S34" s="162"/>
      <c r="T34" s="181"/>
    </row>
    <row r="35" spans="1:20" s="160" customFormat="1" ht="15">
      <c r="A35" s="161" t="s">
        <v>989</v>
      </c>
      <c r="B35" s="161"/>
      <c r="C35" s="160" t="s">
        <v>408</v>
      </c>
      <c r="E35" s="165"/>
      <c r="F35" s="165">
        <v>4401</v>
      </c>
      <c r="G35" s="165"/>
      <c r="H35" s="165">
        <v>0</v>
      </c>
      <c r="I35" s="165">
        <v>0</v>
      </c>
      <c r="J35" s="165">
        <v>1319.75</v>
      </c>
      <c r="K35" s="165">
        <v>564.82000000000005</v>
      </c>
      <c r="L35" s="165">
        <v>480</v>
      </c>
      <c r="M35" s="165">
        <v>480</v>
      </c>
      <c r="N35" s="165"/>
      <c r="O35" s="165">
        <v>900</v>
      </c>
      <c r="P35" s="165">
        <v>900</v>
      </c>
      <c r="Q35" s="219">
        <f t="shared" si="1"/>
        <v>0.875</v>
      </c>
      <c r="R35" s="162"/>
      <c r="S35" s="162"/>
      <c r="T35" s="181"/>
    </row>
    <row r="36" spans="1:20" s="160" customFormat="1" ht="15">
      <c r="A36" s="161" t="s">
        <v>832</v>
      </c>
      <c r="B36" s="161"/>
      <c r="C36" s="160" t="s">
        <v>388</v>
      </c>
      <c r="E36" s="165"/>
      <c r="F36" s="165">
        <v>1457</v>
      </c>
      <c r="G36" s="165"/>
      <c r="H36" s="165">
        <v>0</v>
      </c>
      <c r="I36" s="165">
        <v>0</v>
      </c>
      <c r="J36" s="165">
        <v>1331</v>
      </c>
      <c r="K36" s="165">
        <v>1218</v>
      </c>
      <c r="L36" s="165">
        <v>3002</v>
      </c>
      <c r="M36" s="165">
        <v>3002</v>
      </c>
      <c r="N36" s="165"/>
      <c r="O36" s="165">
        <v>3005</v>
      </c>
      <c r="P36" s="165">
        <v>3050</v>
      </c>
      <c r="Q36" s="219">
        <f t="shared" si="1"/>
        <v>1.5989340439706862E-2</v>
      </c>
      <c r="R36" s="162"/>
      <c r="S36" s="180"/>
      <c r="T36" s="181"/>
    </row>
    <row r="37" spans="1:20" s="160" customFormat="1" ht="15">
      <c r="A37" s="161" t="s">
        <v>833</v>
      </c>
      <c r="B37" s="161"/>
      <c r="C37" s="160" t="s">
        <v>389</v>
      </c>
      <c r="E37" s="165"/>
      <c r="F37" s="165">
        <v>7759</v>
      </c>
      <c r="G37" s="165"/>
      <c r="H37" s="165">
        <v>0</v>
      </c>
      <c r="I37" s="165">
        <v>0</v>
      </c>
      <c r="J37" s="165">
        <v>850.92</v>
      </c>
      <c r="K37" s="165">
        <v>677.46</v>
      </c>
      <c r="L37" s="165">
        <v>1236.76</v>
      </c>
      <c r="M37" s="165">
        <v>1237</v>
      </c>
      <c r="N37" s="165"/>
      <c r="O37" s="165">
        <v>1635.62</v>
      </c>
      <c r="P37" s="165">
        <v>1650</v>
      </c>
      <c r="Q37" s="219">
        <f t="shared" si="1"/>
        <v>0.33387227162489896</v>
      </c>
      <c r="R37" s="162"/>
      <c r="S37" s="180"/>
      <c r="T37" s="181"/>
    </row>
    <row r="38" spans="1:20" s="155" customFormat="1" ht="12.75"/>
    <row r="39" spans="1:20" ht="15.75">
      <c r="A39" s="161"/>
      <c r="B39" s="177" t="s">
        <v>487</v>
      </c>
      <c r="D39" s="241">
        <f>SUM(D28:D34)</f>
        <v>4528.71</v>
      </c>
      <c r="E39" s="241">
        <f>SUM(E28:E34)</f>
        <v>5600</v>
      </c>
      <c r="F39" s="241">
        <f>SUM(F28:F34)</f>
        <v>24280</v>
      </c>
      <c r="G39" s="241">
        <f>SUM(G28:G34)</f>
        <v>11074</v>
      </c>
      <c r="H39" s="241">
        <f t="shared" ref="H39:O39" si="2">SUM(H18:H38)</f>
        <v>39208.73000000001</v>
      </c>
      <c r="I39" s="241">
        <f t="shared" si="2"/>
        <v>40278.98000000001</v>
      </c>
      <c r="J39" s="241">
        <f>SUM(J18:J38)</f>
        <v>54896.630000000005</v>
      </c>
      <c r="K39" s="241">
        <f t="shared" si="2"/>
        <v>55748.339999999982</v>
      </c>
      <c r="L39" s="242">
        <f>SUM(L18:L38)</f>
        <v>71305.75</v>
      </c>
      <c r="M39" s="242">
        <f t="shared" si="2"/>
        <v>73714</v>
      </c>
      <c r="N39" s="242">
        <f>SUM(N18:N38)</f>
        <v>0</v>
      </c>
      <c r="O39" s="242">
        <f t="shared" si="2"/>
        <v>74891.62</v>
      </c>
      <c r="P39" s="242">
        <f>SUM(P18:P38)</f>
        <v>79768</v>
      </c>
      <c r="Q39" s="245">
        <f>(P39-M39)/M39</f>
        <v>8.2128225303198854E-2</v>
      </c>
    </row>
    <row r="40" spans="1:20" ht="15.75">
      <c r="A40" s="246"/>
      <c r="B40" s="246"/>
      <c r="C40" s="177"/>
      <c r="D40" s="247"/>
      <c r="E40" s="247"/>
      <c r="F40" s="247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219"/>
    </row>
    <row r="41" spans="1:20" ht="15.75">
      <c r="A41" s="246"/>
      <c r="B41" s="246"/>
      <c r="C41" s="246"/>
      <c r="D41" s="247"/>
      <c r="E41" s="247"/>
      <c r="F41" s="247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219"/>
    </row>
    <row r="42" spans="1:20" s="160" customFormat="1" ht="16.5" thickBot="1">
      <c r="B42" s="188" t="s">
        <v>483</v>
      </c>
      <c r="D42" s="224"/>
      <c r="E42" s="224"/>
      <c r="F42" s="224"/>
      <c r="G42" s="225">
        <f t="shared" ref="G42:P42" si="3">G13-G39</f>
        <v>117163</v>
      </c>
      <c r="H42" s="225">
        <f t="shared" si="3"/>
        <v>1384.1899999999878</v>
      </c>
      <c r="I42" s="225">
        <f t="shared" si="3"/>
        <v>-3337.2600000000093</v>
      </c>
      <c r="J42" s="225">
        <f t="shared" si="3"/>
        <v>-6447.2000000000044</v>
      </c>
      <c r="K42" s="225">
        <f t="shared" si="3"/>
        <v>-4376.1999999999825</v>
      </c>
      <c r="L42" s="225">
        <f t="shared" si="3"/>
        <v>-7901.3399999999965</v>
      </c>
      <c r="M42" s="412">
        <f t="shared" si="3"/>
        <v>-2176</v>
      </c>
      <c r="N42" s="225">
        <f t="shared" si="3"/>
        <v>0</v>
      </c>
      <c r="O42" s="225">
        <f t="shared" si="3"/>
        <v>-3227.6199999999953</v>
      </c>
      <c r="P42" s="225">
        <f t="shared" si="3"/>
        <v>0</v>
      </c>
      <c r="Q42" s="248">
        <v>0</v>
      </c>
    </row>
    <row r="43" spans="1:20" s="160" customFormat="1" ht="17.25" thickTop="1" thickBot="1">
      <c r="B43" s="188" t="s">
        <v>484</v>
      </c>
      <c r="D43" s="228">
        <f>D13-D39</f>
        <v>105440.98</v>
      </c>
      <c r="E43" s="228">
        <f>E13-E39</f>
        <v>96900</v>
      </c>
      <c r="F43" s="228">
        <f>F13-F39</f>
        <v>81220</v>
      </c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30"/>
    </row>
    <row r="44" spans="1:20" ht="15.75" thickTop="1">
      <c r="A44" s="161"/>
      <c r="B44" s="161"/>
      <c r="C44" s="161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</row>
    <row r="105" spans="6:6">
      <c r="F105" s="156">
        <v>25870</v>
      </c>
    </row>
  </sheetData>
  <sortState ref="A18:P37">
    <sortCondition ref="A18:A37"/>
  </sortState>
  <mergeCells count="7">
    <mergeCell ref="B8:C8"/>
    <mergeCell ref="B17:C17"/>
    <mergeCell ref="M5:O5"/>
    <mergeCell ref="P5:Q5"/>
    <mergeCell ref="A1:Q1"/>
    <mergeCell ref="A2:Q2"/>
    <mergeCell ref="A3:Q3"/>
  </mergeCells>
  <phoneticPr fontId="0" type="noConversion"/>
  <printOptions horizontalCentered="1"/>
  <pageMargins left="0.7" right="0.7" top="0.75" bottom="0.75" header="0.3" footer="0.3"/>
  <pageSetup scale="58" firstPageNumber="38" orientation="portrait" useFirstPageNumber="1" r:id="rId1"/>
  <headerFooter alignWithMargins="0"/>
  <rowBreaks count="1" manualBreakCount="1">
    <brk id="16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31"/>
  <sheetViews>
    <sheetView view="pageLayout" topLeftCell="B10" zoomScaleNormal="100" workbookViewId="0">
      <selection activeCell="K26" sqref="K26"/>
    </sheetView>
  </sheetViews>
  <sheetFormatPr defaultColWidth="9.140625" defaultRowHeight="18"/>
  <cols>
    <col min="1" max="1" width="0" style="235" hidden="1" customWidth="1"/>
    <col min="2" max="2" width="16" style="235" customWidth="1"/>
    <col min="3" max="3" width="36.85546875" style="235" customWidth="1"/>
    <col min="4" max="4" width="7.85546875" style="235" bestFit="1" customWidth="1"/>
    <col min="5" max="9" width="19.7109375" style="237" hidden="1" customWidth="1"/>
    <col min="10" max="11" width="19.7109375" style="237" bestFit="1" customWidth="1"/>
    <col min="12" max="12" width="23.5703125" style="238" hidden="1" customWidth="1"/>
    <col min="13" max="13" width="23.5703125" style="238" customWidth="1"/>
    <col min="14" max="14" width="2.7109375" style="238" customWidth="1"/>
    <col min="15" max="15" width="19" style="238" customWidth="1"/>
    <col min="16" max="16384" width="9.140625" style="235"/>
  </cols>
  <sheetData>
    <row r="1" spans="1:24" s="158" customFormat="1">
      <c r="A1" s="421" t="s">
        <v>48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232"/>
      <c r="Q1" s="157"/>
      <c r="R1" s="157"/>
      <c r="S1" s="157"/>
      <c r="T1" s="157"/>
      <c r="X1" s="159"/>
    </row>
    <row r="2" spans="1:24" s="158" customFormat="1" ht="18.75">
      <c r="A2" s="421" t="s">
        <v>1331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232"/>
      <c r="Q2" s="157"/>
      <c r="R2" s="157"/>
      <c r="S2" s="157"/>
      <c r="T2" s="157"/>
      <c r="X2" s="159"/>
    </row>
    <row r="3" spans="1:24" s="158" customFormat="1">
      <c r="A3" s="421" t="s">
        <v>1513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232"/>
      <c r="Q3" s="157"/>
      <c r="R3" s="157"/>
      <c r="S3" s="157"/>
      <c r="T3" s="157"/>
      <c r="X3" s="159"/>
    </row>
    <row r="4" spans="1:24" s="158" customFormat="1" ht="18.75" thickBot="1">
      <c r="B4" s="231"/>
      <c r="C4" s="231"/>
      <c r="D4" s="232"/>
      <c r="E4" s="233"/>
      <c r="F4" s="233"/>
      <c r="G4" s="233"/>
      <c r="H4" s="233"/>
      <c r="I4" s="233"/>
      <c r="J4" s="233"/>
      <c r="K4" s="233"/>
      <c r="L4" s="234"/>
      <c r="M4" s="234"/>
      <c r="N4" s="234"/>
      <c r="O4" s="234"/>
      <c r="P4" s="232"/>
      <c r="Q4" s="157"/>
      <c r="R4" s="157"/>
      <c r="S4" s="157"/>
      <c r="T4" s="157"/>
      <c r="X4" s="159"/>
    </row>
    <row r="5" spans="1:24" s="161" customFormat="1" ht="17.25" thickTop="1" thickBot="1">
      <c r="D5" s="174"/>
      <c r="E5" s="176" t="s">
        <v>618</v>
      </c>
      <c r="F5" s="176" t="s">
        <v>619</v>
      </c>
      <c r="G5" s="176" t="s">
        <v>705</v>
      </c>
      <c r="H5" s="176" t="s">
        <v>766</v>
      </c>
      <c r="I5" s="176" t="s">
        <v>938</v>
      </c>
      <c r="J5" s="211" t="s">
        <v>1385</v>
      </c>
      <c r="K5" s="429" t="s">
        <v>1415</v>
      </c>
      <c r="L5" s="429"/>
      <c r="M5" s="429"/>
      <c r="N5" s="426" t="s">
        <v>1514</v>
      </c>
      <c r="O5" s="426"/>
    </row>
    <row r="6" spans="1:24" s="161" customFormat="1" ht="21.75" thickTop="1" thickBot="1">
      <c r="D6" s="250"/>
      <c r="E6" s="213" t="s">
        <v>354</v>
      </c>
      <c r="F6" s="213" t="s">
        <v>354</v>
      </c>
      <c r="G6" s="213" t="s">
        <v>354</v>
      </c>
      <c r="H6" s="213" t="s">
        <v>354</v>
      </c>
      <c r="I6" s="213" t="s">
        <v>354</v>
      </c>
      <c r="J6" s="214" t="s">
        <v>354</v>
      </c>
      <c r="K6" s="214" t="s">
        <v>459</v>
      </c>
      <c r="L6" s="236" t="s">
        <v>1149</v>
      </c>
      <c r="M6" s="214" t="s">
        <v>722</v>
      </c>
      <c r="N6" s="214"/>
      <c r="O6" s="214" t="s">
        <v>1242</v>
      </c>
      <c r="P6" s="213"/>
    </row>
    <row r="7" spans="1:24" s="161" customFormat="1" ht="21" thickTop="1">
      <c r="B7" s="177" t="s">
        <v>436</v>
      </c>
      <c r="D7" s="250"/>
      <c r="E7" s="251"/>
      <c r="F7" s="251"/>
      <c r="G7" s="251"/>
      <c r="H7" s="251"/>
      <c r="I7" s="251"/>
      <c r="J7" s="251"/>
      <c r="K7" s="251"/>
      <c r="L7" s="252"/>
      <c r="M7" s="252"/>
      <c r="N7" s="253"/>
      <c r="O7" s="254"/>
    </row>
    <row r="8" spans="1:24" s="161" customFormat="1" ht="15">
      <c r="C8" s="160" t="s">
        <v>1179</v>
      </c>
      <c r="E8" s="253">
        <f t="shared" ref="E8:M8" si="0">E22</f>
        <v>4985.8</v>
      </c>
      <c r="F8" s="253">
        <f t="shared" si="0"/>
        <v>24583.55</v>
      </c>
      <c r="G8" s="253">
        <f t="shared" si="0"/>
        <v>1318.23</v>
      </c>
      <c r="H8" s="253">
        <f>H22</f>
        <v>22259.919999999998</v>
      </c>
      <c r="I8" s="253">
        <f>I22</f>
        <v>77.8</v>
      </c>
      <c r="J8" s="253">
        <f t="shared" si="0"/>
        <v>508301.11999999994</v>
      </c>
      <c r="K8" s="253">
        <f t="shared" si="0"/>
        <v>569257</v>
      </c>
      <c r="L8" s="253">
        <f>L22</f>
        <v>0</v>
      </c>
      <c r="M8" s="253">
        <f t="shared" si="0"/>
        <v>661738.27</v>
      </c>
      <c r="N8" s="178"/>
      <c r="O8" s="253">
        <f>O22</f>
        <v>749531.14</v>
      </c>
    </row>
    <row r="9" spans="1:24" s="161" customFormat="1" ht="21" thickBot="1">
      <c r="B9" s="177" t="s">
        <v>469</v>
      </c>
      <c r="D9" s="250"/>
      <c r="E9" s="255">
        <f t="shared" ref="E9:M9" si="1">SUM(E8:E8)</f>
        <v>4985.8</v>
      </c>
      <c r="F9" s="255">
        <f t="shared" si="1"/>
        <v>24583.55</v>
      </c>
      <c r="G9" s="255">
        <f t="shared" si="1"/>
        <v>1318.23</v>
      </c>
      <c r="H9" s="255">
        <f>SUM(H8:H8)</f>
        <v>22259.919999999998</v>
      </c>
      <c r="I9" s="255">
        <f>SUM(I8:I8)</f>
        <v>77.8</v>
      </c>
      <c r="J9" s="256">
        <f t="shared" si="1"/>
        <v>508301.11999999994</v>
      </c>
      <c r="K9" s="256">
        <f t="shared" si="1"/>
        <v>569257</v>
      </c>
      <c r="L9" s="256">
        <f>SUM(L8:L8)</f>
        <v>0</v>
      </c>
      <c r="M9" s="256">
        <f t="shared" si="1"/>
        <v>661738.27</v>
      </c>
      <c r="N9" s="257"/>
      <c r="O9" s="256">
        <f>SUM(O8:O8)</f>
        <v>749531.14</v>
      </c>
    </row>
    <row r="10" spans="1:24" s="161" customFormat="1" ht="21" thickTop="1">
      <c r="B10" s="177" t="s">
        <v>141</v>
      </c>
      <c r="D10" s="250"/>
      <c r="E10" s="258"/>
      <c r="F10" s="258"/>
      <c r="G10" s="258"/>
      <c r="H10" s="258"/>
      <c r="I10" s="258"/>
      <c r="J10" s="258"/>
      <c r="K10" s="258"/>
      <c r="L10" s="252"/>
      <c r="M10" s="252"/>
      <c r="N10" s="253"/>
      <c r="O10" s="254"/>
    </row>
    <row r="11" spans="1:24" s="161" customFormat="1" ht="15">
      <c r="C11" s="259" t="s">
        <v>1179</v>
      </c>
      <c r="D11" s="185"/>
      <c r="E11" s="260">
        <f t="shared" ref="E11:M11" si="2">E29</f>
        <v>5160.26</v>
      </c>
      <c r="F11" s="260">
        <f t="shared" si="2"/>
        <v>5164.04</v>
      </c>
      <c r="G11" s="260">
        <f t="shared" si="2"/>
        <v>4875.12</v>
      </c>
      <c r="H11" s="260">
        <f>H29</f>
        <v>2907.32</v>
      </c>
      <c r="I11" s="260">
        <f>I29</f>
        <v>3861.8</v>
      </c>
      <c r="J11" s="260">
        <f t="shared" si="2"/>
        <v>641485.19999999995</v>
      </c>
      <c r="K11" s="260">
        <f t="shared" si="2"/>
        <v>279523</v>
      </c>
      <c r="L11" s="253">
        <f>L29</f>
        <v>0</v>
      </c>
      <c r="M11" s="253">
        <f t="shared" si="2"/>
        <v>259430</v>
      </c>
      <c r="N11" s="261"/>
      <c r="O11" s="253">
        <f>O29</f>
        <v>327068</v>
      </c>
    </row>
    <row r="12" spans="1:24" s="161" customFormat="1" ht="16.5" thickBot="1">
      <c r="B12" s="262" t="s">
        <v>144</v>
      </c>
      <c r="C12" s="160"/>
      <c r="D12" s="185"/>
      <c r="E12" s="255">
        <f t="shared" ref="E12:M12" si="3">SUM(E11:E11)</f>
        <v>5160.26</v>
      </c>
      <c r="F12" s="255">
        <f t="shared" si="3"/>
        <v>5164.04</v>
      </c>
      <c r="G12" s="255">
        <f t="shared" si="3"/>
        <v>4875.12</v>
      </c>
      <c r="H12" s="255">
        <f>SUM(H11:H11)</f>
        <v>2907.32</v>
      </c>
      <c r="I12" s="255">
        <f>SUM(I11:I11)</f>
        <v>3861.8</v>
      </c>
      <c r="J12" s="256">
        <f t="shared" si="3"/>
        <v>641485.19999999995</v>
      </c>
      <c r="K12" s="256">
        <f t="shared" si="3"/>
        <v>279523</v>
      </c>
      <c r="L12" s="256">
        <f>SUM(L11:L11)</f>
        <v>0</v>
      </c>
      <c r="M12" s="256">
        <f t="shared" si="3"/>
        <v>259430</v>
      </c>
      <c r="N12" s="257"/>
      <c r="O12" s="256">
        <f>SUM(O11:O11)</f>
        <v>327068</v>
      </c>
    </row>
    <row r="13" spans="1:24" s="161" customFormat="1" ht="16.5" thickTop="1">
      <c r="B13" s="262"/>
      <c r="C13" s="160"/>
      <c r="D13" s="185"/>
      <c r="E13" s="263"/>
      <c r="F13" s="263"/>
      <c r="G13" s="263"/>
      <c r="H13" s="263"/>
      <c r="I13" s="263"/>
      <c r="J13" s="263"/>
      <c r="K13" s="263"/>
      <c r="L13" s="263"/>
      <c r="M13" s="263"/>
      <c r="N13" s="261"/>
      <c r="O13" s="263"/>
    </row>
    <row r="14" spans="1:24" s="161" customFormat="1" ht="21" thickBot="1">
      <c r="B14" s="177" t="s">
        <v>145</v>
      </c>
      <c r="D14" s="250"/>
      <c r="E14" s="264">
        <f t="shared" ref="E14:M14" si="4">+E9-E12</f>
        <v>-174.46000000000004</v>
      </c>
      <c r="F14" s="264">
        <f t="shared" si="4"/>
        <v>19419.509999999998</v>
      </c>
      <c r="G14" s="264">
        <f t="shared" si="4"/>
        <v>-3556.89</v>
      </c>
      <c r="H14" s="264">
        <f>+H9-H12</f>
        <v>19352.599999999999</v>
      </c>
      <c r="I14" s="264">
        <f>+I9-I12</f>
        <v>-3784</v>
      </c>
      <c r="J14" s="256">
        <f t="shared" si="4"/>
        <v>-133184.08000000002</v>
      </c>
      <c r="K14" s="256">
        <f t="shared" si="4"/>
        <v>289734</v>
      </c>
      <c r="L14" s="256">
        <f>+L9-L12</f>
        <v>0</v>
      </c>
      <c r="M14" s="256">
        <f t="shared" si="4"/>
        <v>402308.27</v>
      </c>
      <c r="N14" s="257"/>
      <c r="O14" s="256">
        <f>+O9-O12</f>
        <v>422463.14</v>
      </c>
    </row>
    <row r="15" spans="1:24" s="161" customFormat="1" ht="15.75" thickTop="1">
      <c r="E15" s="189"/>
      <c r="F15" s="189"/>
      <c r="G15" s="189"/>
      <c r="H15" s="189"/>
      <c r="I15" s="189"/>
      <c r="J15" s="189"/>
      <c r="K15" s="178"/>
      <c r="L15" s="178"/>
      <c r="M15" s="178"/>
      <c r="N15" s="178"/>
      <c r="O15" s="178"/>
    </row>
    <row r="16" spans="1:24" s="161" customFormat="1" ht="15">
      <c r="E16" s="189"/>
      <c r="F16" s="189"/>
      <c r="G16" s="189"/>
      <c r="H16" s="189"/>
      <c r="I16" s="189"/>
      <c r="J16" s="189"/>
      <c r="K16" s="178"/>
      <c r="L16" s="178"/>
      <c r="M16" s="178"/>
      <c r="N16" s="178"/>
      <c r="O16" s="178"/>
    </row>
    <row r="17" spans="2:21" s="177" customFormat="1" ht="15.75">
      <c r="B17" s="265" t="s">
        <v>436</v>
      </c>
      <c r="C17" s="265"/>
      <c r="E17" s="266"/>
      <c r="F17" s="266"/>
      <c r="G17" s="266"/>
      <c r="H17" s="266"/>
      <c r="I17" s="266"/>
      <c r="J17" s="266"/>
      <c r="K17" s="178"/>
      <c r="L17" s="267"/>
      <c r="M17" s="267"/>
      <c r="N17" s="267"/>
      <c r="O17" s="267"/>
    </row>
    <row r="18" spans="2:21" s="161" customFormat="1" ht="15">
      <c r="B18" s="161" t="s">
        <v>1467</v>
      </c>
      <c r="C18" s="161" t="s">
        <v>1130</v>
      </c>
      <c r="D18" s="162"/>
      <c r="E18" s="162"/>
      <c r="F18" s="165">
        <v>22665.68</v>
      </c>
      <c r="G18" s="162"/>
      <c r="H18" s="165">
        <v>20298.25</v>
      </c>
      <c r="I18" s="165"/>
      <c r="J18" s="178">
        <v>333234.78999999998</v>
      </c>
      <c r="K18" s="178">
        <v>370412</v>
      </c>
      <c r="L18" s="178"/>
      <c r="M18" s="178">
        <v>424304.72</v>
      </c>
      <c r="N18" s="178"/>
      <c r="O18" s="178">
        <v>479699.20000000001</v>
      </c>
    </row>
    <row r="19" spans="2:21" s="161" customFormat="1" ht="15">
      <c r="B19" s="161" t="s">
        <v>1468</v>
      </c>
      <c r="C19" s="161" t="s">
        <v>1131</v>
      </c>
      <c r="D19" s="162"/>
      <c r="E19" s="162"/>
      <c r="F19" s="165">
        <v>22665.68</v>
      </c>
      <c r="G19" s="162"/>
      <c r="H19" s="165">
        <v>20298.25</v>
      </c>
      <c r="I19" s="165"/>
      <c r="J19" s="178">
        <v>174466.65</v>
      </c>
      <c r="K19" s="178">
        <v>198745</v>
      </c>
      <c r="L19" s="178"/>
      <c r="M19" s="178">
        <v>234633.55</v>
      </c>
      <c r="N19" s="178"/>
      <c r="O19" s="178">
        <v>267331.94</v>
      </c>
      <c r="P19" s="164"/>
      <c r="Q19" s="162"/>
      <c r="R19" s="162"/>
      <c r="S19" s="162"/>
      <c r="T19" s="162"/>
      <c r="U19" s="162"/>
    </row>
    <row r="20" spans="2:21" s="161" customFormat="1" ht="15">
      <c r="B20" s="161" t="s">
        <v>939</v>
      </c>
      <c r="C20" s="161" t="s">
        <v>362</v>
      </c>
      <c r="E20" s="178">
        <v>4985.8</v>
      </c>
      <c r="F20" s="178">
        <v>1917.87</v>
      </c>
      <c r="G20" s="178">
        <v>1318.23</v>
      </c>
      <c r="H20" s="178">
        <v>1961.67</v>
      </c>
      <c r="I20" s="178">
        <v>77.8</v>
      </c>
      <c r="J20" s="178">
        <v>599.67999999999995</v>
      </c>
      <c r="K20" s="178">
        <v>100</v>
      </c>
      <c r="L20" s="178"/>
      <c r="M20" s="178">
        <v>2800</v>
      </c>
      <c r="N20" s="178"/>
      <c r="O20" s="178">
        <v>2500</v>
      </c>
      <c r="P20" s="164"/>
      <c r="Q20" s="162"/>
      <c r="R20" s="162"/>
      <c r="S20" s="162"/>
      <c r="T20" s="162"/>
      <c r="U20" s="162"/>
    </row>
    <row r="21" spans="2:21" s="161" customFormat="1" ht="15"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</row>
    <row r="22" spans="2:21" s="177" customFormat="1" ht="15.75">
      <c r="B22" s="177" t="s">
        <v>469</v>
      </c>
      <c r="E22" s="268">
        <f>SUM(E19:E20)</f>
        <v>4985.8</v>
      </c>
      <c r="F22" s="268">
        <f>SUM(F19:F20)</f>
        <v>24583.55</v>
      </c>
      <c r="G22" s="268">
        <f>SUM(G19:G20)</f>
        <v>1318.23</v>
      </c>
      <c r="H22" s="268">
        <f>SUM(H19:H20)</f>
        <v>22259.919999999998</v>
      </c>
      <c r="I22" s="268">
        <f>SUM(I19:I20)</f>
        <v>77.8</v>
      </c>
      <c r="J22" s="269">
        <f>SUM(J18:J20)</f>
        <v>508301.11999999994</v>
      </c>
      <c r="K22" s="269">
        <f>SUM(K18:K20)</f>
        <v>569257</v>
      </c>
      <c r="L22" s="269">
        <f>SUM(L18:L20)</f>
        <v>0</v>
      </c>
      <c r="M22" s="269">
        <f>SUM(M18:M20)</f>
        <v>661738.27</v>
      </c>
      <c r="N22" s="269">
        <f>SUM(N19:N20)</f>
        <v>0</v>
      </c>
      <c r="O22" s="269">
        <f>SUM(O18:O20)</f>
        <v>749531.14</v>
      </c>
    </row>
    <row r="23" spans="2:21" s="161" customFormat="1" ht="15">
      <c r="E23" s="189"/>
      <c r="F23" s="189"/>
      <c r="G23" s="189"/>
      <c r="H23" s="189"/>
      <c r="I23" s="189"/>
      <c r="J23" s="189"/>
      <c r="K23" s="178"/>
      <c r="L23" s="178"/>
      <c r="M23" s="178"/>
      <c r="N23" s="178"/>
      <c r="O23" s="178"/>
    </row>
    <row r="24" spans="2:21" s="271" customFormat="1" ht="15.75">
      <c r="B24" s="265" t="s">
        <v>141</v>
      </c>
      <c r="C24" s="270"/>
      <c r="E24" s="272"/>
      <c r="F24" s="272"/>
      <c r="G24" s="272"/>
      <c r="H24" s="272"/>
      <c r="I24" s="272"/>
      <c r="J24" s="272"/>
      <c r="K24" s="273"/>
      <c r="L24" s="273"/>
      <c r="M24" s="273"/>
      <c r="N24" s="273"/>
      <c r="O24" s="273"/>
    </row>
    <row r="25" spans="2:21" s="161" customFormat="1" ht="15">
      <c r="B25" s="161" t="s">
        <v>1469</v>
      </c>
      <c r="C25" s="161" t="s">
        <v>1178</v>
      </c>
      <c r="E25" s="178">
        <v>2580.13</v>
      </c>
      <c r="F25" s="178">
        <v>2582.02</v>
      </c>
      <c r="G25" s="178">
        <v>2437.56</v>
      </c>
      <c r="H25" s="178">
        <v>1453.66</v>
      </c>
      <c r="I25" s="178">
        <v>1930.9</v>
      </c>
      <c r="J25" s="178">
        <v>0</v>
      </c>
      <c r="K25" s="178">
        <v>1000</v>
      </c>
      <c r="L25" s="178"/>
      <c r="M25" s="178">
        <v>1000</v>
      </c>
      <c r="N25" s="178"/>
      <c r="O25" s="178">
        <v>1000</v>
      </c>
    </row>
    <row r="26" spans="2:21" s="161" customFormat="1" ht="15">
      <c r="B26" s="161" t="s">
        <v>1470</v>
      </c>
      <c r="C26" s="161" t="s">
        <v>1414</v>
      </c>
      <c r="E26" s="178"/>
      <c r="F26" s="178"/>
      <c r="G26" s="178"/>
      <c r="H26" s="178"/>
      <c r="I26" s="178"/>
      <c r="J26" s="178">
        <v>396856.2</v>
      </c>
      <c r="K26" s="178">
        <v>0</v>
      </c>
      <c r="L26" s="178"/>
      <c r="M26" s="178">
        <v>0</v>
      </c>
      <c r="N26" s="178"/>
      <c r="O26" s="178">
        <v>0</v>
      </c>
    </row>
    <row r="27" spans="2:21" s="161" customFormat="1" ht="15">
      <c r="B27" s="161" t="s">
        <v>1471</v>
      </c>
      <c r="C27" s="161" t="s">
        <v>1231</v>
      </c>
      <c r="E27" s="178">
        <v>2580.13</v>
      </c>
      <c r="F27" s="178">
        <v>2582.02</v>
      </c>
      <c r="G27" s="178">
        <v>2437.56</v>
      </c>
      <c r="H27" s="178">
        <v>1453.66</v>
      </c>
      <c r="I27" s="178">
        <v>1930.9</v>
      </c>
      <c r="J27" s="178">
        <v>244629</v>
      </c>
      <c r="K27" s="178">
        <v>278523</v>
      </c>
      <c r="L27" s="178"/>
      <c r="M27" s="178">
        <v>258430</v>
      </c>
      <c r="N27" s="178"/>
      <c r="O27" s="178">
        <v>326068</v>
      </c>
    </row>
    <row r="28" spans="2:21" s="161" customFormat="1" ht="15"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</row>
    <row r="29" spans="2:21" s="177" customFormat="1" ht="15.75">
      <c r="B29" s="177" t="s">
        <v>144</v>
      </c>
      <c r="E29" s="268">
        <f t="shared" ref="E29:O29" si="5">SUM(E25:E28)</f>
        <v>5160.26</v>
      </c>
      <c r="F29" s="268">
        <f t="shared" si="5"/>
        <v>5164.04</v>
      </c>
      <c r="G29" s="268">
        <f t="shared" si="5"/>
        <v>4875.12</v>
      </c>
      <c r="H29" s="268">
        <f t="shared" si="5"/>
        <v>2907.32</v>
      </c>
      <c r="I29" s="268">
        <f t="shared" si="5"/>
        <v>3861.8</v>
      </c>
      <c r="J29" s="269">
        <f>SUM(J25:J28)</f>
        <v>641485.19999999995</v>
      </c>
      <c r="K29" s="269">
        <f t="shared" si="5"/>
        <v>279523</v>
      </c>
      <c r="L29" s="269">
        <f t="shared" si="5"/>
        <v>0</v>
      </c>
      <c r="M29" s="269">
        <f t="shared" si="5"/>
        <v>259430</v>
      </c>
      <c r="N29" s="269">
        <f t="shared" si="5"/>
        <v>0</v>
      </c>
      <c r="O29" s="269">
        <f t="shared" si="5"/>
        <v>327068</v>
      </c>
    </row>
    <row r="30" spans="2:21" s="177" customFormat="1" ht="15.75"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</row>
    <row r="31" spans="2:21" s="161" customFormat="1" ht="15">
      <c r="E31" s="189"/>
      <c r="F31" s="189"/>
      <c r="G31" s="189"/>
      <c r="H31" s="189"/>
      <c r="I31" s="189"/>
      <c r="J31" s="189"/>
      <c r="K31" s="189"/>
      <c r="L31" s="178"/>
      <c r="M31" s="178"/>
      <c r="N31" s="178"/>
      <c r="O31" s="178"/>
    </row>
  </sheetData>
  <sortState ref="B18:O20">
    <sortCondition ref="B18:B20"/>
  </sortState>
  <mergeCells count="5">
    <mergeCell ref="A1:O1"/>
    <mergeCell ref="A2:O2"/>
    <mergeCell ref="A3:O3"/>
    <mergeCell ref="K5:M5"/>
    <mergeCell ref="N5:O5"/>
  </mergeCells>
  <printOptions horizontalCentered="1"/>
  <pageMargins left="0.7" right="0.7" top="0.75" bottom="0.75" header="0.3" footer="0.3"/>
  <pageSetup scale="63" firstPageNumber="39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selection activeCell="D33" sqref="D33"/>
    </sheetView>
  </sheetViews>
  <sheetFormatPr defaultRowHeight="12.75"/>
  <cols>
    <col min="10" max="10" width="11.42578125" bestFit="1" customWidth="1"/>
    <col min="11" max="11" width="12.42578125" bestFit="1" customWidth="1"/>
  </cols>
  <sheetData>
    <row r="1" spans="1:19" ht="15">
      <c r="A1" s="42" t="s">
        <v>1291</v>
      </c>
      <c r="B1" s="42"/>
      <c r="C1" s="42"/>
      <c r="D1" s="42"/>
      <c r="E1" s="42"/>
      <c r="F1" s="42"/>
      <c r="G1" s="42"/>
      <c r="H1" s="39"/>
      <c r="I1" s="39"/>
      <c r="J1" s="82"/>
      <c r="K1" s="80"/>
      <c r="L1" s="39"/>
      <c r="M1" s="39"/>
      <c r="N1" s="39"/>
      <c r="O1" s="39"/>
      <c r="P1" s="40"/>
      <c r="Q1" s="39"/>
      <c r="R1" s="39"/>
      <c r="S1" s="39"/>
    </row>
    <row r="2" spans="1:19" ht="13.5">
      <c r="A2" s="39"/>
      <c r="B2" s="39"/>
      <c r="C2" s="39"/>
      <c r="D2" s="39"/>
      <c r="E2" s="39"/>
      <c r="F2" s="39"/>
      <c r="G2" s="39"/>
      <c r="H2" s="39"/>
      <c r="I2" s="39"/>
      <c r="J2" s="83" t="s">
        <v>114</v>
      </c>
      <c r="K2" s="85" t="s">
        <v>115</v>
      </c>
      <c r="L2" s="84" t="s">
        <v>116</v>
      </c>
      <c r="M2" s="39"/>
      <c r="N2" s="80"/>
      <c r="O2" s="39"/>
      <c r="P2" s="40"/>
      <c r="Q2" s="39"/>
      <c r="R2" s="39"/>
      <c r="S2" s="39"/>
    </row>
    <row r="3" spans="1:19" ht="13.5">
      <c r="A3" s="39" t="s">
        <v>117</v>
      </c>
      <c r="B3" s="39"/>
      <c r="C3" s="39"/>
      <c r="D3" s="39"/>
      <c r="E3" s="39"/>
      <c r="F3" s="39"/>
      <c r="G3" s="39"/>
      <c r="H3" s="39"/>
      <c r="I3" s="39"/>
      <c r="J3" s="82">
        <v>0.51570000000000005</v>
      </c>
      <c r="K3" s="80">
        <f>(((R$3*J3)*0.95)/100)</f>
        <v>0</v>
      </c>
      <c r="L3" s="81" t="e">
        <f>K3/K5</f>
        <v>#DIV/0!</v>
      </c>
      <c r="M3" s="39"/>
      <c r="N3" s="39"/>
      <c r="O3" s="39"/>
      <c r="P3" s="40"/>
      <c r="Q3" s="39"/>
      <c r="R3" s="39"/>
      <c r="S3" s="39"/>
    </row>
    <row r="4" spans="1:19" ht="13.5">
      <c r="A4" s="39" t="s">
        <v>118</v>
      </c>
      <c r="B4" s="39"/>
      <c r="C4" s="39"/>
      <c r="D4" s="39"/>
      <c r="E4" s="39"/>
      <c r="F4" s="39"/>
      <c r="G4" s="39"/>
      <c r="H4" s="39"/>
      <c r="I4" s="39"/>
      <c r="J4" s="88">
        <v>0.1993</v>
      </c>
      <c r="K4" s="86">
        <f>(((R$3*J4)*0.95)/100)</f>
        <v>0</v>
      </c>
      <c r="L4" s="87" t="e">
        <f>K4/K5</f>
        <v>#DIV/0!</v>
      </c>
      <c r="M4" s="39"/>
      <c r="N4" s="39"/>
      <c r="O4" s="39"/>
      <c r="P4" s="40"/>
      <c r="Q4" s="39"/>
      <c r="R4" s="39"/>
      <c r="S4" s="39"/>
    </row>
    <row r="5" spans="1:19" ht="13.5">
      <c r="A5" s="39" t="s">
        <v>137</v>
      </c>
      <c r="B5" s="39"/>
      <c r="C5" s="39"/>
      <c r="D5" s="39"/>
      <c r="E5" s="39"/>
      <c r="F5" s="39"/>
      <c r="G5" s="39"/>
      <c r="H5" s="39"/>
      <c r="I5" s="39"/>
      <c r="J5" s="82">
        <f>+J3+J4</f>
        <v>0.71500000000000008</v>
      </c>
      <c r="K5" s="80">
        <f>+K3+K4</f>
        <v>0</v>
      </c>
      <c r="L5" s="81" t="e">
        <f>SUM(L3:L4)</f>
        <v>#DIV/0!</v>
      </c>
      <c r="M5" s="39"/>
      <c r="N5" s="39"/>
      <c r="O5" s="39"/>
      <c r="P5" s="40"/>
      <c r="Q5" s="39"/>
      <c r="R5" s="39"/>
      <c r="S5" s="39"/>
    </row>
    <row r="6" spans="1:19" ht="13.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0"/>
      <c r="Q6" s="39"/>
      <c r="R6" s="39"/>
      <c r="S6" s="39"/>
    </row>
    <row r="7" spans="1:19" ht="15">
      <c r="A7" s="42" t="s">
        <v>1306</v>
      </c>
      <c r="B7" s="42"/>
      <c r="C7" s="42"/>
      <c r="D7" s="42"/>
      <c r="E7" s="42"/>
      <c r="F7" s="42"/>
      <c r="G7" s="42"/>
      <c r="H7" s="39"/>
      <c r="I7" s="39"/>
      <c r="J7" s="82"/>
      <c r="K7" s="80"/>
      <c r="L7" s="39"/>
      <c r="M7" s="39"/>
      <c r="N7" s="39"/>
      <c r="O7" s="39"/>
      <c r="P7" s="40"/>
      <c r="Q7" s="39"/>
      <c r="R7" s="39"/>
      <c r="S7" s="39"/>
    </row>
    <row r="8" spans="1:19" ht="13.5">
      <c r="A8" s="39"/>
      <c r="B8" s="39"/>
      <c r="C8" s="39"/>
      <c r="D8" s="39"/>
      <c r="E8" s="39"/>
      <c r="F8" s="39"/>
      <c r="G8" s="39"/>
      <c r="H8" s="39"/>
      <c r="I8" s="39"/>
      <c r="J8" s="83" t="s">
        <v>114</v>
      </c>
      <c r="K8" s="85" t="s">
        <v>115</v>
      </c>
      <c r="L8" s="84" t="s">
        <v>116</v>
      </c>
      <c r="M8" s="39"/>
      <c r="N8" s="39"/>
      <c r="O8" s="39"/>
      <c r="P8" s="40"/>
      <c r="Q8" s="39"/>
      <c r="R8" s="39"/>
      <c r="S8" s="39"/>
    </row>
    <row r="9" spans="1:19" ht="13.5">
      <c r="A9" s="39" t="s">
        <v>117</v>
      </c>
      <c r="B9" s="39"/>
      <c r="C9" s="39"/>
      <c r="D9" s="39"/>
      <c r="E9" s="39"/>
      <c r="F9" s="39"/>
      <c r="G9" s="39"/>
      <c r="H9" s="39"/>
      <c r="I9" s="39"/>
      <c r="J9" s="82">
        <v>0.50600000000000001</v>
      </c>
      <c r="K9" s="80">
        <f>(((S$3*J9)*0.95)/100)</f>
        <v>0</v>
      </c>
      <c r="L9" s="81" t="e">
        <f>K9/K11</f>
        <v>#DIV/0!</v>
      </c>
      <c r="M9" s="39"/>
      <c r="N9" s="39"/>
      <c r="O9" s="39"/>
      <c r="P9" s="40"/>
      <c r="Q9" s="39"/>
      <c r="R9" s="39"/>
      <c r="S9" s="39"/>
    </row>
    <row r="10" spans="1:19" ht="13.5">
      <c r="A10" s="39" t="s">
        <v>118</v>
      </c>
      <c r="B10" s="39"/>
      <c r="C10" s="39"/>
      <c r="D10" s="39"/>
      <c r="E10" s="39"/>
      <c r="F10" s="39"/>
      <c r="G10" s="39"/>
      <c r="H10" s="39"/>
      <c r="I10" s="39"/>
      <c r="J10" s="88">
        <v>0.20899999999999999</v>
      </c>
      <c r="K10" s="86">
        <f>(((S$3*J10)*0.95)/100)</f>
        <v>0</v>
      </c>
      <c r="L10" s="87" t="e">
        <f>K10/K11</f>
        <v>#DIV/0!</v>
      </c>
      <c r="M10" s="39"/>
      <c r="N10" s="39"/>
      <c r="O10" s="39"/>
      <c r="P10" s="40"/>
      <c r="Q10" s="39"/>
      <c r="R10" s="39"/>
      <c r="S10" s="39"/>
    </row>
    <row r="11" spans="1:19" ht="13.5">
      <c r="A11" s="39" t="s">
        <v>137</v>
      </c>
      <c r="B11" s="39"/>
      <c r="C11" s="39"/>
      <c r="D11" s="39"/>
      <c r="E11" s="39"/>
      <c r="F11" s="39"/>
      <c r="G11" s="39"/>
      <c r="H11" s="39"/>
      <c r="I11" s="39"/>
      <c r="J11" s="82">
        <f>+J9+J10</f>
        <v>0.71499999999999997</v>
      </c>
      <c r="K11" s="80">
        <f>+K9+K10</f>
        <v>0</v>
      </c>
      <c r="L11" s="81" t="e">
        <f>SUM(L9:L10)</f>
        <v>#DIV/0!</v>
      </c>
      <c r="M11" s="39"/>
      <c r="N11" s="39"/>
      <c r="O11" s="39"/>
      <c r="P11" s="40"/>
      <c r="Q11" s="39"/>
      <c r="R11" s="39"/>
      <c r="S11" s="39"/>
    </row>
    <row r="12" spans="1:19" ht="13.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40"/>
      <c r="Q12" s="39"/>
      <c r="R12" s="39"/>
      <c r="S12" s="39"/>
    </row>
    <row r="13" spans="1:19" ht="15">
      <c r="A13" s="42" t="s">
        <v>1406</v>
      </c>
      <c r="B13" s="42"/>
      <c r="C13" s="42"/>
      <c r="D13" s="42"/>
      <c r="E13" s="42"/>
      <c r="F13" s="42"/>
      <c r="G13" s="42"/>
      <c r="H13" s="39"/>
      <c r="I13" s="39"/>
      <c r="J13" s="82"/>
      <c r="K13" s="80"/>
      <c r="L13" s="39"/>
      <c r="M13" s="39"/>
      <c r="N13" s="39"/>
      <c r="O13" s="39"/>
      <c r="P13" s="40"/>
      <c r="Q13" s="39"/>
      <c r="R13" s="80"/>
      <c r="S13" s="39"/>
    </row>
    <row r="14" spans="1:19" ht="13.5">
      <c r="A14" s="39"/>
      <c r="B14" s="39"/>
      <c r="C14" s="39"/>
      <c r="D14" s="39"/>
      <c r="E14" s="39"/>
      <c r="F14" s="39"/>
      <c r="G14" s="39"/>
      <c r="H14" s="39"/>
      <c r="I14" s="39"/>
      <c r="J14" s="83" t="s">
        <v>114</v>
      </c>
      <c r="K14" s="85" t="s">
        <v>115</v>
      </c>
      <c r="L14" s="84" t="s">
        <v>116</v>
      </c>
      <c r="M14" s="39"/>
      <c r="N14" s="39"/>
      <c r="O14" s="39"/>
      <c r="P14" s="40"/>
      <c r="Q14" s="39"/>
      <c r="R14" s="39"/>
      <c r="S14" s="39"/>
    </row>
    <row r="15" spans="1:19" ht="15">
      <c r="A15" s="39" t="s">
        <v>117</v>
      </c>
      <c r="B15" s="39"/>
      <c r="C15" s="39"/>
      <c r="D15" s="39"/>
      <c r="E15" s="39"/>
      <c r="F15" s="39"/>
      <c r="G15" s="39"/>
      <c r="H15" s="39"/>
      <c r="I15" s="39"/>
      <c r="J15" s="82">
        <v>0.52200000000000002</v>
      </c>
      <c r="K15" s="80">
        <f>(((T$3*J15)*0.95)/100)</f>
        <v>0</v>
      </c>
      <c r="L15" s="81" t="e">
        <f>K15/K17</f>
        <v>#DIV/0!</v>
      </c>
      <c r="M15" s="39"/>
      <c r="N15" s="42"/>
      <c r="O15" s="42"/>
      <c r="P15" s="409"/>
      <c r="Q15" s="42"/>
      <c r="R15" s="42"/>
      <c r="S15" s="39"/>
    </row>
    <row r="16" spans="1:19" ht="13.5">
      <c r="A16" s="39" t="s">
        <v>118</v>
      </c>
      <c r="B16" s="39"/>
      <c r="C16" s="39"/>
      <c r="D16" s="39"/>
      <c r="E16" s="39"/>
      <c r="F16" s="39"/>
      <c r="G16" s="39"/>
      <c r="H16" s="39"/>
      <c r="I16" s="39"/>
      <c r="J16" s="88">
        <v>0.193</v>
      </c>
      <c r="K16" s="86">
        <f>(((T$3*J16)*0.95)/100)</f>
        <v>0</v>
      </c>
      <c r="L16" s="87" t="e">
        <f>K16/K17</f>
        <v>#DIV/0!</v>
      </c>
      <c r="M16" s="39"/>
      <c r="N16" s="39"/>
      <c r="O16" s="39"/>
      <c r="P16" s="40"/>
      <c r="Q16" s="39"/>
      <c r="R16" s="39"/>
      <c r="S16" s="39"/>
    </row>
    <row r="17" spans="1:19" ht="13.5">
      <c r="A17" s="39" t="s">
        <v>137</v>
      </c>
      <c r="B17" s="39"/>
      <c r="C17" s="39"/>
      <c r="D17" s="39"/>
      <c r="E17" s="39"/>
      <c r="F17" s="39"/>
      <c r="G17" s="39"/>
      <c r="H17" s="39"/>
      <c r="I17" s="39"/>
      <c r="J17" s="82">
        <f>+J15+J16</f>
        <v>0.71500000000000008</v>
      </c>
      <c r="K17" s="80">
        <f>+K15+K16</f>
        <v>0</v>
      </c>
      <c r="L17" s="81" t="e">
        <f>SUM(L15:L16)</f>
        <v>#DIV/0!</v>
      </c>
      <c r="M17" s="39"/>
      <c r="N17" s="39"/>
      <c r="O17" s="39"/>
      <c r="P17" s="40"/>
      <c r="Q17" s="39"/>
      <c r="R17" s="39"/>
      <c r="S17" s="39"/>
    </row>
    <row r="18" spans="1:19" ht="13.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40"/>
      <c r="Q18" s="39"/>
      <c r="R18" s="39"/>
      <c r="S18" s="39"/>
    </row>
    <row r="19" spans="1:19" ht="15">
      <c r="A19" s="42" t="s">
        <v>1499</v>
      </c>
      <c r="B19" s="42"/>
      <c r="C19" s="42"/>
      <c r="D19" s="42"/>
      <c r="E19" s="42"/>
      <c r="F19" s="42"/>
      <c r="G19" s="39"/>
      <c r="H19" s="39"/>
      <c r="I19" s="39"/>
      <c r="J19" s="82"/>
      <c r="K19" s="80"/>
      <c r="L19" s="39"/>
      <c r="M19" s="39"/>
      <c r="N19" s="39"/>
      <c r="O19" s="39"/>
      <c r="P19" s="40"/>
      <c r="Q19" s="39"/>
      <c r="R19" s="39"/>
      <c r="S19" s="39"/>
    </row>
    <row r="20" spans="1:19" ht="15">
      <c r="A20" s="39"/>
      <c r="B20" s="39"/>
      <c r="C20" s="39"/>
      <c r="D20" s="39"/>
      <c r="E20" s="39"/>
      <c r="F20" s="39"/>
      <c r="G20" s="39"/>
      <c r="H20" s="39"/>
      <c r="I20" s="39"/>
      <c r="J20" s="83" t="s">
        <v>114</v>
      </c>
      <c r="K20" s="85" t="s">
        <v>115</v>
      </c>
      <c r="L20" s="84" t="s">
        <v>116</v>
      </c>
      <c r="Q20" s="39"/>
      <c r="R20" s="39"/>
      <c r="S20" s="42"/>
    </row>
    <row r="21" spans="1:19" ht="15">
      <c r="A21" s="39" t="s">
        <v>117</v>
      </c>
      <c r="B21" s="39"/>
      <c r="C21" s="39"/>
      <c r="D21" s="39"/>
      <c r="E21" s="39"/>
      <c r="F21" s="39"/>
      <c r="G21" s="39"/>
      <c r="H21" s="39"/>
      <c r="I21" s="39"/>
      <c r="J21" s="82">
        <v>0.53078999999999998</v>
      </c>
      <c r="K21" s="80">
        <f>(((U$3*J21)*0.95)/100)</f>
        <v>0</v>
      </c>
      <c r="L21" s="81" t="e">
        <f>K21/K23</f>
        <v>#DIV/0!</v>
      </c>
      <c r="Q21" s="39"/>
      <c r="R21" s="42"/>
      <c r="S21" s="42"/>
    </row>
    <row r="22" spans="1:19" ht="13.5">
      <c r="A22" s="39" t="s">
        <v>118</v>
      </c>
      <c r="B22" s="39"/>
      <c r="C22" s="39"/>
      <c r="D22" s="39"/>
      <c r="E22" s="39"/>
      <c r="F22" s="39"/>
      <c r="G22" s="39"/>
      <c r="H22" s="39"/>
      <c r="I22" s="39"/>
      <c r="J22" s="88">
        <v>0.17421</v>
      </c>
      <c r="K22" s="86">
        <f>(((U$3*J22)*0.95)/100)</f>
        <v>0</v>
      </c>
      <c r="L22" s="87" t="e">
        <f>K22/K23</f>
        <v>#DIV/0!</v>
      </c>
      <c r="Q22" s="39"/>
      <c r="R22" s="39"/>
      <c r="S22" s="39"/>
    </row>
    <row r="23" spans="1:19" ht="13.5">
      <c r="A23" s="39" t="s">
        <v>137</v>
      </c>
      <c r="B23" s="39"/>
      <c r="C23" s="39"/>
      <c r="D23" s="39"/>
      <c r="E23" s="39"/>
      <c r="F23" s="39"/>
      <c r="G23" s="39"/>
      <c r="H23" s="39"/>
      <c r="I23" s="39"/>
      <c r="J23" s="82">
        <f>+J21+J22</f>
        <v>0.70499999999999996</v>
      </c>
      <c r="K23" s="80">
        <f>+K21+K22</f>
        <v>0</v>
      </c>
      <c r="L23" s="81" t="e">
        <f>SUM(L21:L22)</f>
        <v>#DIV/0!</v>
      </c>
      <c r="Q23" s="39"/>
      <c r="R23" s="39"/>
      <c r="S23" s="39"/>
    </row>
    <row r="24" spans="1:19" ht="13.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Q24" s="39"/>
      <c r="R24" s="39"/>
      <c r="S24" s="39"/>
    </row>
    <row r="25" spans="1:19" ht="15">
      <c r="A25" s="42" t="s">
        <v>1512</v>
      </c>
      <c r="B25" s="42"/>
      <c r="C25" s="42"/>
      <c r="D25" s="42"/>
      <c r="E25" s="42"/>
      <c r="F25" s="42"/>
      <c r="G25" s="39"/>
      <c r="H25" s="39"/>
      <c r="I25" s="39"/>
      <c r="J25" s="82"/>
      <c r="K25" s="80"/>
      <c r="L25" s="39"/>
      <c r="Q25" s="39"/>
      <c r="R25" s="39"/>
      <c r="S25" s="39"/>
    </row>
    <row r="26" spans="1:19" ht="15">
      <c r="A26" s="39"/>
      <c r="B26" s="39"/>
      <c r="C26" s="39"/>
      <c r="D26" s="39"/>
      <c r="E26" s="39"/>
      <c r="F26" s="39"/>
      <c r="G26" s="39"/>
      <c r="H26" s="39"/>
      <c r="I26" s="39"/>
      <c r="J26" s="83" t="s">
        <v>114</v>
      </c>
      <c r="K26" s="85" t="s">
        <v>115</v>
      </c>
      <c r="L26" s="84" t="s">
        <v>116</v>
      </c>
      <c r="Q26" s="39"/>
      <c r="R26" s="39"/>
      <c r="S26" s="42"/>
    </row>
    <row r="27" spans="1:19" ht="15">
      <c r="A27" s="39" t="s">
        <v>117</v>
      </c>
      <c r="B27" s="39"/>
      <c r="C27" s="39"/>
      <c r="D27" s="39"/>
      <c r="E27" s="39"/>
      <c r="F27" s="39"/>
      <c r="G27" s="39"/>
      <c r="H27" s="39"/>
      <c r="I27" s="39"/>
      <c r="J27" s="418" t="e">
        <f>#REF!-J28</f>
        <v>#REF!</v>
      </c>
      <c r="K27" s="80" t="e">
        <f>(((V$3*J27)*0.95)/100)</f>
        <v>#REF!</v>
      </c>
      <c r="L27" s="81" t="e">
        <f>K27/K29</f>
        <v>#REF!</v>
      </c>
      <c r="Q27" s="39"/>
      <c r="R27" s="42"/>
      <c r="S27" s="42"/>
    </row>
    <row r="28" spans="1:19" ht="13.5">
      <c r="A28" s="39" t="s">
        <v>118</v>
      </c>
      <c r="B28" s="39"/>
      <c r="C28" s="39"/>
      <c r="D28" s="39"/>
      <c r="E28" s="39"/>
      <c r="F28" s="39"/>
      <c r="G28" s="39"/>
      <c r="H28" s="39"/>
      <c r="I28" s="39"/>
      <c r="J28" s="419">
        <v>0.14610000000000001</v>
      </c>
      <c r="K28" s="86">
        <f>(((V$3*J28)*0.95)/100)</f>
        <v>0</v>
      </c>
      <c r="L28" s="87" t="e">
        <f>K28/K29</f>
        <v>#REF!</v>
      </c>
      <c r="Q28" s="39"/>
      <c r="R28" s="39"/>
      <c r="S28" s="39"/>
    </row>
    <row r="29" spans="1:19" ht="13.5">
      <c r="A29" s="39" t="s">
        <v>137</v>
      </c>
      <c r="B29" s="39"/>
      <c r="C29" s="39"/>
      <c r="D29" s="39"/>
      <c r="E29" s="39"/>
      <c r="F29" s="39"/>
      <c r="G29" s="39"/>
      <c r="H29" s="39"/>
      <c r="I29" s="39"/>
      <c r="J29" s="82" t="e">
        <f>+J27+J28</f>
        <v>#REF!</v>
      </c>
      <c r="K29" s="80" t="e">
        <f>+K27+K28</f>
        <v>#REF!</v>
      </c>
      <c r="L29" s="81" t="e">
        <f>SUM(L27:L28)</f>
        <v>#REF!</v>
      </c>
      <c r="Q29" s="39"/>
      <c r="R29" s="39"/>
      <c r="S29" s="39"/>
    </row>
  </sheetData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08"/>
  <sheetViews>
    <sheetView zoomScaleNormal="100" workbookViewId="0">
      <pane xSplit="8" ySplit="6" topLeftCell="K7" activePane="bottomRight" state="frozen"/>
      <selection pane="topRight" activeCell="I1" sqref="I1"/>
      <selection pane="bottomLeft" activeCell="A7" sqref="A7"/>
      <selection pane="bottomRight" activeCell="Q12" sqref="Q12"/>
    </sheetView>
  </sheetViews>
  <sheetFormatPr defaultRowHeight="12.75"/>
  <cols>
    <col min="1" max="1" width="0.42578125" customWidth="1"/>
    <col min="2" max="2" width="18.5703125" customWidth="1"/>
    <col min="3" max="3" width="17.7109375" bestFit="1" customWidth="1"/>
    <col min="4" max="4" width="7.140625" customWidth="1"/>
    <col min="5" max="5" width="5" customWidth="1"/>
    <col min="6" max="6" width="25.85546875" customWidth="1"/>
    <col min="7" max="7" width="33.5703125" customWidth="1"/>
    <col min="8" max="8" width="5.5703125" customWidth="1"/>
    <col min="9" max="9" width="10.85546875" style="12" customWidth="1"/>
    <col min="10" max="10" width="15.7109375" customWidth="1"/>
    <col min="11" max="11" width="10" customWidth="1"/>
    <col min="12" max="12" width="13.28515625" customWidth="1"/>
    <col min="13" max="15" width="10.42578125" style="24" customWidth="1"/>
    <col min="16" max="16" width="10" customWidth="1"/>
    <col min="17" max="18" width="10" style="24" customWidth="1"/>
    <col min="19" max="19" width="18.42578125" customWidth="1"/>
    <col min="20" max="20" width="17.42578125" customWidth="1"/>
    <col min="21" max="21" width="16.28515625" bestFit="1" customWidth="1"/>
    <col min="22" max="22" width="9.85546875" bestFit="1" customWidth="1"/>
    <col min="23" max="23" width="11" customWidth="1"/>
    <col min="24" max="24" width="9.85546875" customWidth="1"/>
    <col min="25" max="25" width="12.42578125" bestFit="1" customWidth="1"/>
    <col min="26" max="26" width="12" customWidth="1"/>
    <col min="27" max="27" width="2.7109375" customWidth="1"/>
    <col min="28" max="28" width="15.140625" style="63" bestFit="1" customWidth="1"/>
    <col min="29" max="29" width="15.42578125" style="63" bestFit="1" customWidth="1"/>
    <col min="30" max="30" width="14" bestFit="1" customWidth="1"/>
  </cols>
  <sheetData>
    <row r="1" spans="1:29">
      <c r="D1" s="433" t="s">
        <v>48</v>
      </c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  <c r="W1" s="433"/>
      <c r="X1" s="433"/>
      <c r="Y1" s="433"/>
      <c r="Z1" s="433"/>
    </row>
    <row r="2" spans="1:29">
      <c r="D2" s="433" t="s">
        <v>1110</v>
      </c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3"/>
      <c r="Y2" s="433"/>
      <c r="Z2" s="433"/>
    </row>
    <row r="3" spans="1:29">
      <c r="D3" s="434" t="s">
        <v>1150</v>
      </c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</row>
    <row r="4" spans="1:29">
      <c r="V4" s="23">
        <v>1.2E-2</v>
      </c>
      <c r="Y4" s="21"/>
      <c r="Z4" s="23"/>
    </row>
    <row r="5" spans="1:29">
      <c r="T5" s="14">
        <v>6.2E-2</v>
      </c>
      <c r="U5" s="14">
        <v>1.4500000000000001E-2</v>
      </c>
      <c r="V5" s="14">
        <v>1.6899999999999998E-2</v>
      </c>
      <c r="W5" s="60">
        <v>1.07</v>
      </c>
      <c r="X5" s="14"/>
      <c r="Y5" s="4" t="s">
        <v>49</v>
      </c>
      <c r="Z5" s="14">
        <v>0.03</v>
      </c>
    </row>
    <row r="6" spans="1:29" s="4" customFormat="1" ht="33.75">
      <c r="A6" s="5" t="s">
        <v>40</v>
      </c>
      <c r="B6" s="10" t="s">
        <v>41</v>
      </c>
      <c r="C6" s="10" t="s">
        <v>42</v>
      </c>
      <c r="D6" s="10" t="s">
        <v>43</v>
      </c>
      <c r="E6" s="15" t="s">
        <v>50</v>
      </c>
      <c r="F6" s="10" t="s">
        <v>44</v>
      </c>
      <c r="G6" s="10" t="s">
        <v>45</v>
      </c>
      <c r="H6" s="10" t="s">
        <v>51</v>
      </c>
      <c r="I6" s="16" t="s">
        <v>52</v>
      </c>
      <c r="J6" s="11" t="s">
        <v>1155</v>
      </c>
      <c r="K6" s="33">
        <v>0.03</v>
      </c>
      <c r="L6" s="11" t="s">
        <v>658</v>
      </c>
      <c r="M6" s="34" t="s">
        <v>814</v>
      </c>
      <c r="N6" s="34" t="s">
        <v>815</v>
      </c>
      <c r="O6" s="34" t="s">
        <v>657</v>
      </c>
      <c r="P6" s="11" t="s">
        <v>416</v>
      </c>
      <c r="Q6" s="34" t="s">
        <v>280</v>
      </c>
      <c r="R6" s="34" t="s">
        <v>976</v>
      </c>
      <c r="S6" s="11" t="s">
        <v>659</v>
      </c>
      <c r="T6" s="11" t="s">
        <v>37</v>
      </c>
      <c r="U6" s="11" t="s">
        <v>47</v>
      </c>
      <c r="V6" s="11" t="s">
        <v>393</v>
      </c>
      <c r="W6" s="11" t="s">
        <v>38</v>
      </c>
      <c r="X6" s="11" t="s">
        <v>247</v>
      </c>
      <c r="Y6" s="11" t="s">
        <v>39</v>
      </c>
      <c r="Z6" s="11" t="s">
        <v>46</v>
      </c>
      <c r="AB6" s="64"/>
      <c r="AC6" s="64"/>
    </row>
    <row r="7" spans="1:29" s="4" customFormat="1">
      <c r="B7" s="1" t="s">
        <v>660</v>
      </c>
      <c r="C7" s="1" t="s">
        <v>661</v>
      </c>
      <c r="D7" s="73" t="s">
        <v>809</v>
      </c>
      <c r="E7" t="s">
        <v>35</v>
      </c>
      <c r="F7" t="s">
        <v>434</v>
      </c>
      <c r="G7" t="s">
        <v>1111</v>
      </c>
      <c r="H7" s="78" t="s">
        <v>242</v>
      </c>
      <c r="I7" s="59">
        <v>3545.27</v>
      </c>
      <c r="J7" s="22">
        <f t="shared" ref="J7:J12" si="0">IF(E7="H",ROUND(I7*2080*0.25,0),ROUND(I7*26*0.25,0))</f>
        <v>23044</v>
      </c>
      <c r="K7" s="24">
        <f>J7*$K$6</f>
        <v>691.31999999999994</v>
      </c>
      <c r="L7" s="24">
        <f t="shared" ref="L7:L13" si="1">SUM(J7:K7)</f>
        <v>23735.32</v>
      </c>
      <c r="M7" s="24"/>
      <c r="N7" s="24">
        <v>2600</v>
      </c>
      <c r="O7" s="24"/>
      <c r="P7" s="24"/>
      <c r="Q7" s="24"/>
      <c r="R7" s="24"/>
      <c r="S7" s="24">
        <f t="shared" ref="S7:S12" si="2">SUM(L7:Q7)</f>
        <v>26335.32</v>
      </c>
      <c r="T7" s="22">
        <f t="shared" ref="T7:T12" si="3">ROUND(S7*0.062,0)</f>
        <v>1633</v>
      </c>
      <c r="U7" s="22">
        <f t="shared" ref="U7:U12" si="4">ROUND(S7*0.0145,0)</f>
        <v>382</v>
      </c>
      <c r="V7" s="22">
        <f t="shared" ref="V7:V13" si="5">(ROUND(S7*$V$5,0))</f>
        <v>445</v>
      </c>
      <c r="W7" s="22">
        <f t="shared" ref="W7:W13" si="6">((563.26*12)*0.25)*$W$5</f>
        <v>1808.0646000000002</v>
      </c>
      <c r="X7" s="76">
        <f t="shared" ref="X7:X13" si="7">(4.8*12)</f>
        <v>57.599999999999994</v>
      </c>
      <c r="Y7" s="22">
        <f>((S7*0.045)*0.69)*0.8</f>
        <v>654.16934879999997</v>
      </c>
      <c r="Z7" s="22">
        <f t="shared" ref="Z7:Z13" si="8">(9000*0.03)</f>
        <v>270</v>
      </c>
      <c r="AB7" s="25"/>
      <c r="AC7" s="64"/>
    </row>
    <row r="8" spans="1:29" s="4" customFormat="1">
      <c r="B8" s="4" t="s">
        <v>662</v>
      </c>
      <c r="C8" t="s">
        <v>14</v>
      </c>
      <c r="D8" s="73" t="s">
        <v>809</v>
      </c>
      <c r="E8" t="s">
        <v>35</v>
      </c>
      <c r="F8" t="s">
        <v>434</v>
      </c>
      <c r="G8" s="1" t="s">
        <v>1166</v>
      </c>
      <c r="H8" s="78" t="s">
        <v>242</v>
      </c>
      <c r="I8" s="59">
        <v>2901.77</v>
      </c>
      <c r="J8" s="22">
        <f t="shared" si="0"/>
        <v>18862</v>
      </c>
      <c r="K8" s="24">
        <f t="shared" ref="K8:K13" si="9">J8*$K$6</f>
        <v>565.86</v>
      </c>
      <c r="L8" s="24">
        <f t="shared" si="1"/>
        <v>19427.86</v>
      </c>
      <c r="M8" s="24"/>
      <c r="N8" s="24"/>
      <c r="O8" s="24"/>
      <c r="P8" s="24"/>
      <c r="Q8" s="24"/>
      <c r="R8" s="24"/>
      <c r="S8" s="24">
        <f t="shared" si="2"/>
        <v>19427.86</v>
      </c>
      <c r="T8" s="22">
        <f t="shared" si="3"/>
        <v>1205</v>
      </c>
      <c r="U8" s="22">
        <f t="shared" si="4"/>
        <v>282</v>
      </c>
      <c r="V8" s="22">
        <f t="shared" si="5"/>
        <v>328</v>
      </c>
      <c r="W8" s="22">
        <f t="shared" si="6"/>
        <v>1808.0646000000002</v>
      </c>
      <c r="X8" s="76">
        <f t="shared" si="7"/>
        <v>57.599999999999994</v>
      </c>
      <c r="Y8" s="22">
        <f t="shared" ref="Y8:Y13" si="10">((S8*0.045)*0.69)*0.8</f>
        <v>482.58804240000001</v>
      </c>
      <c r="Z8" s="22">
        <f t="shared" si="8"/>
        <v>270</v>
      </c>
      <c r="AB8" s="25"/>
      <c r="AC8" s="64"/>
    </row>
    <row r="9" spans="1:29" s="4" customFormat="1">
      <c r="B9" s="4" t="s">
        <v>663</v>
      </c>
      <c r="C9" t="s">
        <v>664</v>
      </c>
      <c r="D9" s="73" t="s">
        <v>809</v>
      </c>
      <c r="E9" t="s">
        <v>35</v>
      </c>
      <c r="F9" t="s">
        <v>434</v>
      </c>
      <c r="G9" t="s">
        <v>11</v>
      </c>
      <c r="H9" s="78" t="s">
        <v>242</v>
      </c>
      <c r="I9" s="59">
        <v>2101.5</v>
      </c>
      <c r="J9" s="22">
        <f t="shared" si="0"/>
        <v>13660</v>
      </c>
      <c r="K9" s="24">
        <f t="shared" si="9"/>
        <v>409.8</v>
      </c>
      <c r="L9" s="24">
        <f t="shared" si="1"/>
        <v>14069.8</v>
      </c>
      <c r="M9" s="24"/>
      <c r="N9" s="24"/>
      <c r="O9" s="24"/>
      <c r="P9" s="24"/>
      <c r="Q9" s="24"/>
      <c r="R9" s="24"/>
      <c r="S9" s="24">
        <f t="shared" si="2"/>
        <v>14069.8</v>
      </c>
      <c r="T9" s="22">
        <f t="shared" si="3"/>
        <v>872</v>
      </c>
      <c r="U9" s="22">
        <f t="shared" si="4"/>
        <v>204</v>
      </c>
      <c r="V9" s="22">
        <f t="shared" si="5"/>
        <v>238</v>
      </c>
      <c r="W9" s="22">
        <f t="shared" si="6"/>
        <v>1808.0646000000002</v>
      </c>
      <c r="X9" s="76">
        <f t="shared" si="7"/>
        <v>57.599999999999994</v>
      </c>
      <c r="Y9" s="22">
        <f t="shared" si="10"/>
        <v>349.493832</v>
      </c>
      <c r="Z9" s="22">
        <f t="shared" si="8"/>
        <v>270</v>
      </c>
      <c r="AB9" s="64"/>
      <c r="AC9" s="64"/>
    </row>
    <row r="10" spans="1:29" s="4" customFormat="1">
      <c r="B10" s="4" t="s">
        <v>665</v>
      </c>
      <c r="C10" t="s">
        <v>13</v>
      </c>
      <c r="D10" s="73" t="s">
        <v>809</v>
      </c>
      <c r="E10" t="s">
        <v>34</v>
      </c>
      <c r="F10" t="s">
        <v>434</v>
      </c>
      <c r="G10" t="s">
        <v>20</v>
      </c>
      <c r="H10" s="78" t="s">
        <v>242</v>
      </c>
      <c r="I10" s="59">
        <v>14.94</v>
      </c>
      <c r="J10" s="22">
        <f t="shared" si="0"/>
        <v>7769</v>
      </c>
      <c r="K10" s="24">
        <f>1685*0.25</f>
        <v>421.25</v>
      </c>
      <c r="L10" s="24">
        <f t="shared" si="1"/>
        <v>8190.25</v>
      </c>
      <c r="M10" s="24"/>
      <c r="N10" s="24"/>
      <c r="O10" s="24"/>
      <c r="P10" s="24"/>
      <c r="Q10" s="24">
        <v>500</v>
      </c>
      <c r="R10" s="24"/>
      <c r="S10" s="24">
        <f t="shared" si="2"/>
        <v>8690.25</v>
      </c>
      <c r="T10" s="22">
        <f t="shared" si="3"/>
        <v>539</v>
      </c>
      <c r="U10" s="22">
        <f t="shared" si="4"/>
        <v>126</v>
      </c>
      <c r="V10" s="22">
        <f t="shared" si="5"/>
        <v>147</v>
      </c>
      <c r="W10" s="22">
        <f t="shared" si="6"/>
        <v>1808.0646000000002</v>
      </c>
      <c r="X10" s="76">
        <f t="shared" si="7"/>
        <v>57.599999999999994</v>
      </c>
      <c r="Y10" s="22">
        <f t="shared" si="10"/>
        <v>215.86580999999998</v>
      </c>
      <c r="Z10" s="22">
        <f t="shared" si="8"/>
        <v>270</v>
      </c>
      <c r="AB10" s="64"/>
      <c r="AC10" s="64"/>
    </row>
    <row r="11" spans="1:29">
      <c r="B11" s="4" t="s">
        <v>1156</v>
      </c>
      <c r="C11" s="1" t="s">
        <v>1157</v>
      </c>
      <c r="D11" s="73" t="s">
        <v>809</v>
      </c>
      <c r="E11" t="s">
        <v>34</v>
      </c>
      <c r="F11" t="s">
        <v>434</v>
      </c>
      <c r="G11" t="s">
        <v>20</v>
      </c>
      <c r="H11" s="78" t="s">
        <v>242</v>
      </c>
      <c r="I11" s="59">
        <v>12</v>
      </c>
      <c r="J11" s="22">
        <f t="shared" si="0"/>
        <v>6240</v>
      </c>
      <c r="K11" s="24">
        <f t="shared" si="9"/>
        <v>187.2</v>
      </c>
      <c r="L11" s="24">
        <f>SUM(J11:K11)</f>
        <v>6427.2</v>
      </c>
      <c r="P11" s="24"/>
      <c r="Q11" s="24">
        <v>500</v>
      </c>
      <c r="S11" s="24">
        <f>SUM(L11:Q11)</f>
        <v>6927.2</v>
      </c>
      <c r="T11" s="22">
        <f>ROUND(S11*0.062,0)</f>
        <v>429</v>
      </c>
      <c r="U11" s="22">
        <f>ROUND(S11*0.0145,0)</f>
        <v>100</v>
      </c>
      <c r="V11" s="22">
        <f t="shared" si="5"/>
        <v>117</v>
      </c>
      <c r="W11" s="22">
        <f t="shared" si="6"/>
        <v>1808.0646000000002</v>
      </c>
      <c r="X11" s="76">
        <f t="shared" si="7"/>
        <v>57.599999999999994</v>
      </c>
      <c r="Y11" s="22">
        <f t="shared" si="10"/>
        <v>172.07164799999998</v>
      </c>
      <c r="Z11" s="22">
        <f t="shared" si="8"/>
        <v>270</v>
      </c>
    </row>
    <row r="12" spans="1:29">
      <c r="B12" s="4" t="s">
        <v>964</v>
      </c>
      <c r="C12" t="s">
        <v>757</v>
      </c>
      <c r="D12" s="73" t="s">
        <v>809</v>
      </c>
      <c r="E12" t="s">
        <v>34</v>
      </c>
      <c r="F12" t="s">
        <v>434</v>
      </c>
      <c r="G12" t="s">
        <v>246</v>
      </c>
      <c r="H12" s="78" t="s">
        <v>242</v>
      </c>
      <c r="I12" s="59">
        <v>12</v>
      </c>
      <c r="J12" s="22">
        <f t="shared" si="0"/>
        <v>6240</v>
      </c>
      <c r="K12" s="24">
        <f t="shared" si="9"/>
        <v>187.2</v>
      </c>
      <c r="L12" s="24">
        <f t="shared" si="1"/>
        <v>6427.2</v>
      </c>
      <c r="P12" s="24"/>
      <c r="Q12" s="24">
        <v>500</v>
      </c>
      <c r="S12" s="24">
        <f t="shared" si="2"/>
        <v>6927.2</v>
      </c>
      <c r="T12" s="22">
        <f t="shared" si="3"/>
        <v>429</v>
      </c>
      <c r="U12" s="22">
        <f t="shared" si="4"/>
        <v>100</v>
      </c>
      <c r="V12" s="22">
        <f t="shared" si="5"/>
        <v>117</v>
      </c>
      <c r="W12" s="22">
        <f t="shared" si="6"/>
        <v>1808.0646000000002</v>
      </c>
      <c r="X12" s="76">
        <f t="shared" si="7"/>
        <v>57.599999999999994</v>
      </c>
      <c r="Y12" s="22">
        <f t="shared" si="10"/>
        <v>172.07164799999998</v>
      </c>
      <c r="Z12" s="22">
        <f t="shared" si="8"/>
        <v>270</v>
      </c>
    </row>
    <row r="13" spans="1:29">
      <c r="A13">
        <v>63</v>
      </c>
      <c r="B13" s="1"/>
      <c r="D13" s="73" t="s">
        <v>809</v>
      </c>
      <c r="E13" t="s">
        <v>34</v>
      </c>
      <c r="F13" t="s">
        <v>434</v>
      </c>
      <c r="G13" t="s">
        <v>241</v>
      </c>
      <c r="H13" s="27" t="s">
        <v>242</v>
      </c>
      <c r="I13" s="59">
        <v>8.25</v>
      </c>
      <c r="J13" s="22">
        <f>IF(E13="H",ROUND(I13*2080/4,0),ROUND(I13*26/4,0))</f>
        <v>4290</v>
      </c>
      <c r="K13" s="24">
        <f t="shared" si="9"/>
        <v>128.69999999999999</v>
      </c>
      <c r="L13" s="24">
        <f t="shared" si="1"/>
        <v>4418.7</v>
      </c>
      <c r="S13" s="24">
        <f>SUM(L13:Q13)</f>
        <v>4418.7</v>
      </c>
      <c r="T13" s="22">
        <f>ROUND(S13*0.062,0)</f>
        <v>274</v>
      </c>
      <c r="U13" s="22">
        <f>ROUND(S13*0.0145,0)</f>
        <v>64</v>
      </c>
      <c r="V13" s="22">
        <f t="shared" si="5"/>
        <v>75</v>
      </c>
      <c r="W13" s="62">
        <f t="shared" si="6"/>
        <v>1808.0646000000002</v>
      </c>
      <c r="X13" s="76">
        <f t="shared" si="7"/>
        <v>57.599999999999994</v>
      </c>
      <c r="Y13" s="22">
        <f t="shared" si="10"/>
        <v>109.76050799999999</v>
      </c>
      <c r="Z13" s="22">
        <f t="shared" si="8"/>
        <v>270</v>
      </c>
    </row>
    <row r="14" spans="1:29">
      <c r="D14" s="74"/>
      <c r="F14" s="7" t="s">
        <v>54</v>
      </c>
      <c r="H14" s="26"/>
      <c r="I14" s="59"/>
      <c r="J14" s="8">
        <f t="shared" ref="J14:Q14" si="11">SUM(J7:J13)</f>
        <v>80105</v>
      </c>
      <c r="K14" s="8">
        <f t="shared" si="11"/>
        <v>2591.329999999999</v>
      </c>
      <c r="L14" s="8">
        <f t="shared" si="11"/>
        <v>82696.329999999987</v>
      </c>
      <c r="M14" s="35">
        <f t="shared" si="11"/>
        <v>0</v>
      </c>
      <c r="N14" s="35">
        <f t="shared" si="11"/>
        <v>2600</v>
      </c>
      <c r="O14" s="35">
        <f t="shared" si="11"/>
        <v>0</v>
      </c>
      <c r="P14" s="8">
        <f t="shared" si="11"/>
        <v>0</v>
      </c>
      <c r="Q14" s="35">
        <f t="shared" si="11"/>
        <v>1500</v>
      </c>
      <c r="R14" s="35"/>
      <c r="S14" s="8">
        <f t="shared" ref="S14:Z14" si="12">SUM(S7:S13)</f>
        <v>86796.329999999987</v>
      </c>
      <c r="T14" s="8">
        <f t="shared" si="12"/>
        <v>5381</v>
      </c>
      <c r="U14" s="8">
        <f t="shared" si="12"/>
        <v>1258</v>
      </c>
      <c r="V14" s="8">
        <f t="shared" si="12"/>
        <v>1467</v>
      </c>
      <c r="W14" s="8">
        <f t="shared" si="12"/>
        <v>12656.4522</v>
      </c>
      <c r="X14" s="8">
        <f t="shared" si="12"/>
        <v>403.20000000000005</v>
      </c>
      <c r="Y14" s="8">
        <f t="shared" si="12"/>
        <v>2156.0208371999997</v>
      </c>
      <c r="Z14" s="8">
        <f t="shared" si="12"/>
        <v>1890</v>
      </c>
    </row>
    <row r="15" spans="1:29">
      <c r="D15" s="74"/>
      <c r="F15" s="7"/>
      <c r="H15" s="26"/>
      <c r="I15" s="59"/>
      <c r="J15" s="17"/>
      <c r="K15" s="17"/>
      <c r="L15" s="17"/>
      <c r="M15" s="30"/>
      <c r="N15" s="30"/>
      <c r="O15" s="30"/>
      <c r="P15" s="17"/>
      <c r="Q15" s="30"/>
      <c r="R15" s="30"/>
      <c r="S15" s="17"/>
      <c r="T15" s="17"/>
      <c r="U15" s="17"/>
      <c r="V15" s="17"/>
      <c r="W15" s="17"/>
      <c r="X15" s="17"/>
      <c r="Y15" s="17"/>
      <c r="Z15" s="17"/>
    </row>
    <row r="16" spans="1:29">
      <c r="D16" s="74"/>
      <c r="H16" s="26"/>
      <c r="I16" s="59"/>
    </row>
    <row r="17" spans="1:26">
      <c r="B17" t="s">
        <v>666</v>
      </c>
      <c r="C17" t="s">
        <v>667</v>
      </c>
      <c r="D17" s="73" t="s">
        <v>810</v>
      </c>
      <c r="E17" t="s">
        <v>34</v>
      </c>
      <c r="F17" t="s">
        <v>475</v>
      </c>
      <c r="G17" t="s">
        <v>5</v>
      </c>
      <c r="H17" s="26">
        <v>1</v>
      </c>
      <c r="I17" s="59">
        <v>12.3</v>
      </c>
      <c r="J17" s="13">
        <f>IF(E17="H",ROUND(I17*2080,0),ROUND(I17*26,0))</f>
        <v>25584</v>
      </c>
      <c r="K17" s="24">
        <f>J17*$K$6</f>
        <v>767.52</v>
      </c>
      <c r="L17" s="24">
        <f>SUM(J17:K17)</f>
        <v>26351.52</v>
      </c>
      <c r="Q17" s="24">
        <v>100</v>
      </c>
      <c r="S17" s="24">
        <f>SUM(L17:Q17)</f>
        <v>26451.52</v>
      </c>
      <c r="T17" s="22">
        <f>ROUND(S17*0.062,0)</f>
        <v>1640</v>
      </c>
      <c r="U17" s="22">
        <f>ROUND(S17*0.0145,0)</f>
        <v>384</v>
      </c>
      <c r="V17" s="22">
        <f>(ROUND(S17*$V$5,0))</f>
        <v>447</v>
      </c>
      <c r="W17" s="22">
        <f>(563.26*12)*$W$5</f>
        <v>7232.2584000000006</v>
      </c>
      <c r="X17" s="76">
        <f>(4.8*12)</f>
        <v>57.599999999999994</v>
      </c>
      <c r="Y17" s="22">
        <f>((S17*0.044)*0.69)*0.8</f>
        <v>642.45451776000004</v>
      </c>
      <c r="Z17" s="22">
        <f>(9000*0.03)</f>
        <v>270</v>
      </c>
    </row>
    <row r="18" spans="1:26">
      <c r="D18" s="73" t="s">
        <v>810</v>
      </c>
      <c r="E18" t="s">
        <v>34</v>
      </c>
      <c r="F18" t="s">
        <v>475</v>
      </c>
      <c r="G18" t="s">
        <v>243</v>
      </c>
      <c r="H18" s="29" t="s">
        <v>1091</v>
      </c>
      <c r="I18" s="59">
        <v>8.5</v>
      </c>
      <c r="J18" s="13">
        <f>IF(E18="H",ROUND(I18*1248,0),ROUND(I18*26,0))</f>
        <v>10608</v>
      </c>
      <c r="K18" s="24">
        <f>J18*$K$6</f>
        <v>318.24</v>
      </c>
      <c r="L18" s="24">
        <f>SUM(J18:K18)</f>
        <v>10926.24</v>
      </c>
      <c r="Q18" s="24">
        <v>100</v>
      </c>
      <c r="S18" s="24">
        <f>SUM(L18:Q18)</f>
        <v>11026.24</v>
      </c>
      <c r="T18" s="22">
        <f>ROUND(S18*0.062,0)</f>
        <v>684</v>
      </c>
      <c r="U18" s="22">
        <f>ROUND(S18*0.0145,0)</f>
        <v>160</v>
      </c>
      <c r="V18" s="22">
        <f>(ROUND(S18*$V$5,0))</f>
        <v>186</v>
      </c>
      <c r="W18" s="22">
        <v>0</v>
      </c>
      <c r="X18" s="76">
        <v>0</v>
      </c>
      <c r="Y18" s="22">
        <f>((S18*0.044)*0.69)*0.8</f>
        <v>267.80531711999998</v>
      </c>
      <c r="Z18" s="22">
        <f>(9000*0.03)</f>
        <v>270</v>
      </c>
    </row>
    <row r="19" spans="1:26">
      <c r="B19" t="s">
        <v>668</v>
      </c>
      <c r="C19" t="s">
        <v>669</v>
      </c>
      <c r="D19" s="73" t="s">
        <v>810</v>
      </c>
      <c r="E19" t="s">
        <v>34</v>
      </c>
      <c r="F19" t="s">
        <v>8</v>
      </c>
      <c r="G19" t="s">
        <v>2</v>
      </c>
      <c r="H19" s="26">
        <v>1</v>
      </c>
      <c r="I19" s="59">
        <v>21.54</v>
      </c>
      <c r="J19" s="13">
        <f>IF(E19="H",ROUND(I19*2210,0),ROUND(I19*26,0))</f>
        <v>47603</v>
      </c>
      <c r="K19" s="24">
        <f>J19*$K$6</f>
        <v>1428.09</v>
      </c>
      <c r="L19" s="24">
        <f>SUM(J19:K19)</f>
        <v>49031.09</v>
      </c>
      <c r="M19" s="24">
        <f>50*12</f>
        <v>600</v>
      </c>
      <c r="Q19" s="24">
        <v>800</v>
      </c>
      <c r="S19" s="24">
        <f>SUM(L19:Q19)</f>
        <v>50431.09</v>
      </c>
      <c r="T19" s="22">
        <f>ROUND(S19*0.062,0)</f>
        <v>3127</v>
      </c>
      <c r="U19" s="22">
        <f>ROUND(S19*0.0145,0)</f>
        <v>731</v>
      </c>
      <c r="V19" s="22">
        <f>(ROUND(S19*$V$5,0))</f>
        <v>852</v>
      </c>
      <c r="W19" s="22">
        <f>(563.26*12)*$W$5</f>
        <v>7232.2584000000006</v>
      </c>
      <c r="X19" s="76">
        <f>(4.8*12)</f>
        <v>57.599999999999994</v>
      </c>
      <c r="Y19" s="22">
        <f>((S19*0.0384)*0.69)*0.8</f>
        <v>1068.9777285119997</v>
      </c>
      <c r="Z19" s="22">
        <f>(9000*0.03)</f>
        <v>270</v>
      </c>
    </row>
    <row r="20" spans="1:26">
      <c r="D20" s="74"/>
      <c r="F20" s="7" t="s">
        <v>55</v>
      </c>
      <c r="H20" s="26"/>
      <c r="I20" s="59"/>
      <c r="J20" s="8">
        <f t="shared" ref="J20:Z20" si="13">SUM(J17:J19)</f>
        <v>83795</v>
      </c>
      <c r="K20" s="8">
        <f t="shared" si="13"/>
        <v>2513.85</v>
      </c>
      <c r="L20" s="8">
        <f t="shared" si="13"/>
        <v>86308.85</v>
      </c>
      <c r="M20" s="35">
        <f t="shared" si="13"/>
        <v>600</v>
      </c>
      <c r="N20" s="35">
        <f t="shared" si="13"/>
        <v>0</v>
      </c>
      <c r="O20" s="35">
        <f t="shared" si="13"/>
        <v>0</v>
      </c>
      <c r="P20" s="8">
        <f t="shared" si="13"/>
        <v>0</v>
      </c>
      <c r="Q20" s="35">
        <f t="shared" si="13"/>
        <v>1000</v>
      </c>
      <c r="R20" s="35"/>
      <c r="S20" s="8">
        <f t="shared" si="13"/>
        <v>87908.85</v>
      </c>
      <c r="T20" s="8">
        <f t="shared" si="13"/>
        <v>5451</v>
      </c>
      <c r="U20" s="8">
        <f t="shared" si="13"/>
        <v>1275</v>
      </c>
      <c r="V20" s="8">
        <f t="shared" si="13"/>
        <v>1485</v>
      </c>
      <c r="W20" s="8">
        <f t="shared" si="13"/>
        <v>14464.516800000001</v>
      </c>
      <c r="X20" s="8">
        <f t="shared" si="13"/>
        <v>115.19999999999999</v>
      </c>
      <c r="Y20" s="8">
        <f t="shared" si="13"/>
        <v>1979.2375633919996</v>
      </c>
      <c r="Z20" s="8">
        <f t="shared" si="13"/>
        <v>810</v>
      </c>
    </row>
    <row r="21" spans="1:26">
      <c r="D21" s="74"/>
      <c r="H21" s="26"/>
      <c r="I21" s="59"/>
      <c r="J21" s="2"/>
      <c r="T21" s="13"/>
      <c r="U21" s="13"/>
      <c r="V21" s="13"/>
      <c r="W21" s="13"/>
      <c r="X21" s="13"/>
      <c r="Y21" s="13"/>
      <c r="Z21" s="13"/>
    </row>
    <row r="22" spans="1:26">
      <c r="B22" t="s">
        <v>670</v>
      </c>
      <c r="C22" t="s">
        <v>671</v>
      </c>
      <c r="D22" s="73" t="s">
        <v>811</v>
      </c>
      <c r="E22" t="s">
        <v>35</v>
      </c>
      <c r="F22" t="s">
        <v>8</v>
      </c>
      <c r="G22" t="s">
        <v>672</v>
      </c>
      <c r="H22" s="26">
        <v>1</v>
      </c>
      <c r="I22" s="75">
        <v>2573.08</v>
      </c>
      <c r="J22" s="13">
        <f t="shared" ref="J22:J36" si="14">IF(E22="H",ROUND(I22*2210,0),ROUND(I22*26,0))</f>
        <v>66900</v>
      </c>
      <c r="K22" s="24">
        <f>J22*$K$6</f>
        <v>2007</v>
      </c>
      <c r="L22" s="24">
        <f t="shared" ref="L22:L34" si="15">SUM(J22:K22)</f>
        <v>68907</v>
      </c>
      <c r="M22" s="24">
        <f>50*12</f>
        <v>600</v>
      </c>
      <c r="O22" s="24">
        <f>80*12</f>
        <v>960</v>
      </c>
      <c r="S22" s="24">
        <f>SUM(L22:R22)</f>
        <v>70467</v>
      </c>
      <c r="T22" s="76">
        <f t="shared" ref="T22:T34" si="16">ROUND(S22*0.062,0)</f>
        <v>4369</v>
      </c>
      <c r="U22" s="76">
        <f>ROUND(S22*0.0145,0)</f>
        <v>1022</v>
      </c>
      <c r="V22" s="22">
        <f t="shared" ref="V22:V46" si="17">(ROUND(S22*$V$5,0))</f>
        <v>1191</v>
      </c>
      <c r="W22" s="76">
        <v>0</v>
      </c>
      <c r="X22" s="76">
        <f>(4.8*12)</f>
        <v>57.599999999999994</v>
      </c>
      <c r="Y22" s="22">
        <f t="shared" ref="Y22:Y35" si="18">((S22*0.0384)*0.69)*0.8</f>
        <v>1493.6749055999999</v>
      </c>
      <c r="Z22" s="76">
        <f t="shared" ref="Z22:Z34" si="19">(9000*0.03)</f>
        <v>270</v>
      </c>
    </row>
    <row r="23" spans="1:26">
      <c r="B23" t="s">
        <v>674</v>
      </c>
      <c r="C23" t="s">
        <v>675</v>
      </c>
      <c r="D23" s="73" t="s">
        <v>811</v>
      </c>
      <c r="E23" t="s">
        <v>35</v>
      </c>
      <c r="F23" t="s">
        <v>8</v>
      </c>
      <c r="G23" t="s">
        <v>673</v>
      </c>
      <c r="H23" s="26">
        <v>1</v>
      </c>
      <c r="I23" s="75">
        <v>1993.81</v>
      </c>
      <c r="J23" s="13">
        <f t="shared" si="14"/>
        <v>51839</v>
      </c>
      <c r="K23" s="24">
        <v>5917.6</v>
      </c>
      <c r="L23" s="24">
        <f t="shared" si="15"/>
        <v>57756.6</v>
      </c>
      <c r="M23" s="24">
        <f>50*12</f>
        <v>600</v>
      </c>
      <c r="R23" s="24">
        <v>2000</v>
      </c>
      <c r="S23" s="24">
        <f t="shared" ref="S23:S46" si="20">SUM(L23:R23)</f>
        <v>60356.6</v>
      </c>
      <c r="T23" s="76">
        <f t="shared" si="16"/>
        <v>3742</v>
      </c>
      <c r="U23" s="76">
        <f>ROUND(S23*0.0145,0)</f>
        <v>875</v>
      </c>
      <c r="V23" s="22">
        <f t="shared" si="17"/>
        <v>1020</v>
      </c>
      <c r="W23" s="22">
        <f t="shared" ref="W23:W36" si="21">(563.26*12)*$W$5</f>
        <v>7232.2584000000006</v>
      </c>
      <c r="X23" s="76">
        <f t="shared" ref="X23:X36" si="22">(4.8*12)</f>
        <v>57.599999999999994</v>
      </c>
      <c r="Y23" s="22">
        <f t="shared" si="18"/>
        <v>1279.3667788799996</v>
      </c>
      <c r="Z23" s="76">
        <f t="shared" si="19"/>
        <v>270</v>
      </c>
    </row>
    <row r="24" spans="1:26">
      <c r="B24" t="s">
        <v>676</v>
      </c>
      <c r="C24" t="s">
        <v>13</v>
      </c>
      <c r="D24" s="73" t="s">
        <v>811</v>
      </c>
      <c r="E24" t="s">
        <v>35</v>
      </c>
      <c r="F24" t="s">
        <v>8</v>
      </c>
      <c r="G24" t="s">
        <v>342</v>
      </c>
      <c r="H24" s="26">
        <v>1</v>
      </c>
      <c r="I24" s="75">
        <v>1850.85</v>
      </c>
      <c r="J24" s="13">
        <f t="shared" si="14"/>
        <v>48122</v>
      </c>
      <c r="K24" s="24">
        <v>5917.6</v>
      </c>
      <c r="L24" s="24">
        <f t="shared" si="15"/>
        <v>54039.6</v>
      </c>
      <c r="M24" s="24">
        <f>50*12</f>
        <v>600</v>
      </c>
      <c r="R24" s="24">
        <v>2000</v>
      </c>
      <c r="S24" s="24">
        <f t="shared" si="20"/>
        <v>56639.6</v>
      </c>
      <c r="T24" s="76">
        <f t="shared" si="16"/>
        <v>3512</v>
      </c>
      <c r="U24" s="76">
        <f>ROUND(S24*0.0145,0)</f>
        <v>821</v>
      </c>
      <c r="V24" s="22">
        <f t="shared" si="17"/>
        <v>957</v>
      </c>
      <c r="W24" s="22">
        <f t="shared" si="21"/>
        <v>7232.2584000000006</v>
      </c>
      <c r="X24" s="76">
        <f t="shared" si="22"/>
        <v>57.599999999999994</v>
      </c>
      <c r="Y24" s="22">
        <f t="shared" si="18"/>
        <v>1200.5782732799998</v>
      </c>
      <c r="Z24" s="76">
        <f t="shared" si="19"/>
        <v>270</v>
      </c>
    </row>
    <row r="25" spans="1:26">
      <c r="B25" t="s">
        <v>965</v>
      </c>
      <c r="C25" t="s">
        <v>709</v>
      </c>
      <c r="D25" s="73" t="s">
        <v>811</v>
      </c>
      <c r="E25" t="s">
        <v>35</v>
      </c>
      <c r="F25" t="s">
        <v>8</v>
      </c>
      <c r="G25" t="s">
        <v>342</v>
      </c>
      <c r="H25" s="26">
        <v>1</v>
      </c>
      <c r="I25" s="75">
        <v>1598.4</v>
      </c>
      <c r="J25" s="13">
        <f t="shared" si="14"/>
        <v>41558</v>
      </c>
      <c r="K25" s="24">
        <v>5917.6</v>
      </c>
      <c r="L25" s="24">
        <f t="shared" si="15"/>
        <v>47475.6</v>
      </c>
      <c r="M25" s="24">
        <f>50*12</f>
        <v>600</v>
      </c>
      <c r="R25" s="24">
        <v>2000</v>
      </c>
      <c r="S25" s="24">
        <f t="shared" si="20"/>
        <v>50075.6</v>
      </c>
      <c r="T25" s="76">
        <f t="shared" si="16"/>
        <v>3105</v>
      </c>
      <c r="U25" s="76">
        <f>ROUND(S25*0.0145,0)</f>
        <v>726</v>
      </c>
      <c r="V25" s="22">
        <f t="shared" si="17"/>
        <v>846</v>
      </c>
      <c r="W25" s="22">
        <f t="shared" si="21"/>
        <v>7232.2584000000006</v>
      </c>
      <c r="X25" s="76">
        <f t="shared" si="22"/>
        <v>57.599999999999994</v>
      </c>
      <c r="Y25" s="22">
        <f t="shared" si="18"/>
        <v>1061.4424780799998</v>
      </c>
      <c r="Z25" s="76">
        <f t="shared" si="19"/>
        <v>270</v>
      </c>
    </row>
    <row r="26" spans="1:26">
      <c r="B26" t="s">
        <v>966</v>
      </c>
      <c r="C26" t="s">
        <v>759</v>
      </c>
      <c r="D26" s="73" t="s">
        <v>811</v>
      </c>
      <c r="E26" t="s">
        <v>34</v>
      </c>
      <c r="F26" t="s">
        <v>8</v>
      </c>
      <c r="G26" s="1" t="s">
        <v>1165</v>
      </c>
      <c r="H26" s="26">
        <v>1</v>
      </c>
      <c r="I26" s="75">
        <v>15.41</v>
      </c>
      <c r="J26" s="13">
        <f t="shared" si="14"/>
        <v>34056</v>
      </c>
      <c r="K26" s="24">
        <f t="shared" ref="K26:K36" si="23">J26*$K$6</f>
        <v>1021.68</v>
      </c>
      <c r="L26" s="24">
        <f t="shared" si="15"/>
        <v>35077.68</v>
      </c>
      <c r="M26" s="24">
        <f>50*12</f>
        <v>600</v>
      </c>
      <c r="Q26" s="24">
        <v>2000</v>
      </c>
      <c r="R26" s="24">
        <v>2000</v>
      </c>
      <c r="S26" s="24">
        <f t="shared" si="20"/>
        <v>39677.68</v>
      </c>
      <c r="T26" s="76">
        <f t="shared" si="16"/>
        <v>2460</v>
      </c>
      <c r="U26" s="76">
        <f>ROUND(S26*0.0145,0)</f>
        <v>575</v>
      </c>
      <c r="V26" s="22">
        <f t="shared" si="17"/>
        <v>671</v>
      </c>
      <c r="W26" s="22">
        <f t="shared" si="21"/>
        <v>7232.2584000000006</v>
      </c>
      <c r="X26" s="76">
        <f t="shared" si="22"/>
        <v>57.599999999999994</v>
      </c>
      <c r="Y26" s="22">
        <f t="shared" si="18"/>
        <v>841.03984742399996</v>
      </c>
      <c r="Z26" s="76">
        <f t="shared" si="19"/>
        <v>270</v>
      </c>
    </row>
    <row r="27" spans="1:26">
      <c r="B27" t="s">
        <v>679</v>
      </c>
      <c r="C27" t="s">
        <v>932</v>
      </c>
      <c r="D27" s="73" t="s">
        <v>811</v>
      </c>
      <c r="E27" t="s">
        <v>34</v>
      </c>
      <c r="F27" t="s">
        <v>8</v>
      </c>
      <c r="G27" s="1" t="s">
        <v>1165</v>
      </c>
      <c r="H27" s="26">
        <v>1</v>
      </c>
      <c r="I27" s="75">
        <v>14.5</v>
      </c>
      <c r="J27" s="13">
        <f t="shared" si="14"/>
        <v>32045</v>
      </c>
      <c r="K27" s="24">
        <f t="shared" si="23"/>
        <v>961.34999999999991</v>
      </c>
      <c r="L27" s="24">
        <f t="shared" si="15"/>
        <v>33006.35</v>
      </c>
      <c r="Q27" s="24">
        <v>2000</v>
      </c>
      <c r="R27" s="24">
        <v>2000</v>
      </c>
      <c r="S27" s="24">
        <f t="shared" si="20"/>
        <v>37006.35</v>
      </c>
      <c r="T27" s="76">
        <f t="shared" si="16"/>
        <v>2294</v>
      </c>
      <c r="U27" s="76">
        <f t="shared" ref="U27:U34" si="24">ROUND(S27*0.0145,0)</f>
        <v>537</v>
      </c>
      <c r="V27" s="22">
        <f t="shared" si="17"/>
        <v>625</v>
      </c>
      <c r="W27" s="22">
        <f t="shared" si="21"/>
        <v>7232.2584000000006</v>
      </c>
      <c r="X27" s="76">
        <f t="shared" si="22"/>
        <v>57.599999999999994</v>
      </c>
      <c r="Y27" s="22">
        <f t="shared" si="18"/>
        <v>784.41619967999986</v>
      </c>
      <c r="Z27" s="76">
        <f>(9000*0.03)</f>
        <v>270</v>
      </c>
    </row>
    <row r="28" spans="1:26">
      <c r="B28" t="s">
        <v>760</v>
      </c>
      <c r="C28" t="s">
        <v>669</v>
      </c>
      <c r="D28" s="73" t="s">
        <v>811</v>
      </c>
      <c r="E28" t="s">
        <v>34</v>
      </c>
      <c r="F28" t="s">
        <v>8</v>
      </c>
      <c r="G28" s="1" t="s">
        <v>1165</v>
      </c>
      <c r="H28" s="26">
        <v>1</v>
      </c>
      <c r="I28" s="75">
        <v>14.42</v>
      </c>
      <c r="J28" s="13">
        <f t="shared" si="14"/>
        <v>31868</v>
      </c>
      <c r="K28" s="24">
        <f t="shared" si="23"/>
        <v>956.04</v>
      </c>
      <c r="L28" s="24">
        <f t="shared" si="15"/>
        <v>32824.04</v>
      </c>
      <c r="Q28" s="24">
        <v>2000</v>
      </c>
      <c r="R28" s="24">
        <v>2000</v>
      </c>
      <c r="S28" s="24">
        <f t="shared" si="20"/>
        <v>36824.04</v>
      </c>
      <c r="T28" s="76">
        <f t="shared" si="16"/>
        <v>2283</v>
      </c>
      <c r="U28" s="76">
        <f t="shared" si="24"/>
        <v>534</v>
      </c>
      <c r="V28" s="22">
        <f t="shared" si="17"/>
        <v>622</v>
      </c>
      <c r="W28" s="22">
        <f t="shared" si="21"/>
        <v>7232.2584000000006</v>
      </c>
      <c r="X28" s="76">
        <f t="shared" si="22"/>
        <v>57.599999999999994</v>
      </c>
      <c r="Y28" s="22">
        <f t="shared" si="18"/>
        <v>780.55181107199996</v>
      </c>
      <c r="Z28" s="76">
        <f t="shared" si="19"/>
        <v>270</v>
      </c>
    </row>
    <row r="29" spans="1:26">
      <c r="B29" t="s">
        <v>710</v>
      </c>
      <c r="C29" t="s">
        <v>711</v>
      </c>
      <c r="D29" s="73" t="s">
        <v>811</v>
      </c>
      <c r="E29" t="s">
        <v>34</v>
      </c>
      <c r="F29" t="s">
        <v>8</v>
      </c>
      <c r="G29" s="1" t="s">
        <v>1165</v>
      </c>
      <c r="H29" s="26">
        <v>1</v>
      </c>
      <c r="I29" s="75">
        <v>16.09</v>
      </c>
      <c r="J29" s="13">
        <f t="shared" si="14"/>
        <v>35559</v>
      </c>
      <c r="K29" s="24">
        <f t="shared" si="23"/>
        <v>1066.77</v>
      </c>
      <c r="L29" s="24">
        <f t="shared" si="15"/>
        <v>36625.769999999997</v>
      </c>
      <c r="Q29" s="24">
        <v>2000</v>
      </c>
      <c r="R29" s="24">
        <v>2000</v>
      </c>
      <c r="S29" s="24">
        <f t="shared" si="20"/>
        <v>40625.769999999997</v>
      </c>
      <c r="T29" s="76">
        <f t="shared" si="16"/>
        <v>2519</v>
      </c>
      <c r="U29" s="76">
        <f t="shared" si="24"/>
        <v>589</v>
      </c>
      <c r="V29" s="22">
        <f t="shared" si="17"/>
        <v>687</v>
      </c>
      <c r="W29" s="22">
        <f t="shared" si="21"/>
        <v>7232.2584000000006</v>
      </c>
      <c r="X29" s="76">
        <f t="shared" si="22"/>
        <v>57.599999999999994</v>
      </c>
      <c r="Y29" s="22">
        <f t="shared" si="18"/>
        <v>861.13632153599974</v>
      </c>
      <c r="Z29" s="76">
        <f t="shared" si="19"/>
        <v>270</v>
      </c>
    </row>
    <row r="30" spans="1:26">
      <c r="A30">
        <v>48</v>
      </c>
      <c r="B30" s="1" t="s">
        <v>1113</v>
      </c>
      <c r="C30" s="1" t="s">
        <v>1112</v>
      </c>
      <c r="D30" s="73" t="s">
        <v>811</v>
      </c>
      <c r="E30" t="s">
        <v>34</v>
      </c>
      <c r="F30" t="s">
        <v>8</v>
      </c>
      <c r="G30" s="1" t="s">
        <v>9</v>
      </c>
      <c r="H30" s="26">
        <v>1</v>
      </c>
      <c r="I30" s="75">
        <v>14.58</v>
      </c>
      <c r="J30" s="13">
        <f>IF(E30="H",ROUND(I30*2210,0),ROUND(I30*26,0))</f>
        <v>32222</v>
      </c>
      <c r="K30" s="24">
        <f t="shared" si="23"/>
        <v>966.66</v>
      </c>
      <c r="L30" s="24">
        <f>SUM(J30:K30)</f>
        <v>33188.660000000003</v>
      </c>
      <c r="M30" s="24">
        <v>600</v>
      </c>
      <c r="Q30" s="24">
        <v>2000</v>
      </c>
      <c r="R30" s="24">
        <v>1000</v>
      </c>
      <c r="S30" s="24">
        <f>SUM(L30:R30)</f>
        <v>36788.660000000003</v>
      </c>
      <c r="T30" s="76">
        <f>ROUND(S30*0.062,0)</f>
        <v>2281</v>
      </c>
      <c r="U30" s="76">
        <f>ROUND(S30*0.0145,0)</f>
        <v>533</v>
      </c>
      <c r="V30" s="22">
        <f>(ROUND(S30*$V$5,0))</f>
        <v>622</v>
      </c>
      <c r="W30" s="22">
        <f t="shared" si="21"/>
        <v>7232.2584000000006</v>
      </c>
      <c r="X30" s="76">
        <f t="shared" si="22"/>
        <v>57.599999999999994</v>
      </c>
      <c r="Y30" s="22">
        <f>((S30*0.0384)*0.69)*0.8</f>
        <v>779.80186828799992</v>
      </c>
      <c r="Z30" s="76">
        <f>(9000*0.03)</f>
        <v>270</v>
      </c>
    </row>
    <row r="31" spans="1:26">
      <c r="A31" s="1" t="s">
        <v>1158</v>
      </c>
      <c r="B31" s="1" t="s">
        <v>1158</v>
      </c>
      <c r="C31" s="1" t="s">
        <v>1159</v>
      </c>
      <c r="D31" s="73" t="s">
        <v>811</v>
      </c>
      <c r="E31" t="s">
        <v>34</v>
      </c>
      <c r="F31" t="s">
        <v>8</v>
      </c>
      <c r="G31" t="s">
        <v>191</v>
      </c>
      <c r="H31" s="26">
        <v>1</v>
      </c>
      <c r="I31" s="75">
        <v>13.58</v>
      </c>
      <c r="J31" s="13">
        <f>IF(E31="H",ROUND(I31*2210,0),ROUND(I31*26,0))</f>
        <v>30012</v>
      </c>
      <c r="K31" s="24">
        <f t="shared" si="23"/>
        <v>900.36</v>
      </c>
      <c r="L31" s="24">
        <f>SUM(J31:K31)</f>
        <v>30912.36</v>
      </c>
      <c r="Q31" s="24">
        <v>2000</v>
      </c>
      <c r="R31" s="24">
        <v>1000</v>
      </c>
      <c r="S31" s="24">
        <f>SUM(L31:R31)</f>
        <v>33912.36</v>
      </c>
      <c r="T31" s="76">
        <f>ROUND(S31*0.062,0)</f>
        <v>2103</v>
      </c>
      <c r="U31" s="76">
        <f>ROUND(S31*0.0145,0)</f>
        <v>492</v>
      </c>
      <c r="V31" s="22">
        <f t="shared" si="17"/>
        <v>573</v>
      </c>
      <c r="W31" s="22">
        <f t="shared" si="21"/>
        <v>7232.2584000000006</v>
      </c>
      <c r="X31" s="76">
        <f t="shared" si="22"/>
        <v>57.599999999999994</v>
      </c>
      <c r="Y31" s="22">
        <f>((S31*0.0384)*0.69)*0.8</f>
        <v>718.83351244799996</v>
      </c>
      <c r="Z31" s="76">
        <f t="shared" si="19"/>
        <v>270</v>
      </c>
    </row>
    <row r="32" spans="1:26">
      <c r="A32">
        <v>48</v>
      </c>
      <c r="B32" s="1" t="s">
        <v>28</v>
      </c>
      <c r="C32" s="1" t="s">
        <v>1048</v>
      </c>
      <c r="D32" s="73" t="s">
        <v>811</v>
      </c>
      <c r="E32" t="s">
        <v>34</v>
      </c>
      <c r="F32" t="s">
        <v>8</v>
      </c>
      <c r="G32" t="s">
        <v>191</v>
      </c>
      <c r="H32" s="26">
        <v>1</v>
      </c>
      <c r="I32" s="75">
        <v>13.58</v>
      </c>
      <c r="J32" s="13">
        <f t="shared" si="14"/>
        <v>30012</v>
      </c>
      <c r="K32" s="24">
        <f t="shared" si="23"/>
        <v>900.36</v>
      </c>
      <c r="L32" s="24">
        <f>SUM(J32:K32)</f>
        <v>30912.36</v>
      </c>
      <c r="Q32" s="24">
        <v>2000</v>
      </c>
      <c r="R32" s="24">
        <v>1000</v>
      </c>
      <c r="S32" s="24">
        <f>SUM(L32:R32)</f>
        <v>33912.36</v>
      </c>
      <c r="T32" s="76">
        <f>ROUND(S32*0.062,0)</f>
        <v>2103</v>
      </c>
      <c r="U32" s="76">
        <f>ROUND(S32*0.0145,0)</f>
        <v>492</v>
      </c>
      <c r="V32" s="22">
        <f t="shared" si="17"/>
        <v>573</v>
      </c>
      <c r="W32" s="22">
        <f t="shared" si="21"/>
        <v>7232.2584000000006</v>
      </c>
      <c r="X32" s="76">
        <f t="shared" si="22"/>
        <v>57.599999999999994</v>
      </c>
      <c r="Y32" s="22">
        <f t="shared" si="18"/>
        <v>718.83351244799996</v>
      </c>
      <c r="Z32" s="76">
        <f t="shared" si="19"/>
        <v>270</v>
      </c>
    </row>
    <row r="33" spans="1:26">
      <c r="B33" t="s">
        <v>761</v>
      </c>
      <c r="C33" t="s">
        <v>762</v>
      </c>
      <c r="D33" s="77" t="s">
        <v>811</v>
      </c>
      <c r="E33" t="s">
        <v>34</v>
      </c>
      <c r="F33" t="s">
        <v>8</v>
      </c>
      <c r="G33" t="s">
        <v>191</v>
      </c>
      <c r="H33" s="26">
        <v>1</v>
      </c>
      <c r="I33" s="75">
        <v>13.99</v>
      </c>
      <c r="J33" s="13">
        <f t="shared" si="14"/>
        <v>30918</v>
      </c>
      <c r="K33" s="24">
        <f t="shared" si="23"/>
        <v>927.54</v>
      </c>
      <c r="L33" s="24">
        <f t="shared" si="15"/>
        <v>31845.54</v>
      </c>
      <c r="Q33" s="24">
        <v>2000</v>
      </c>
      <c r="R33" s="24">
        <v>1000</v>
      </c>
      <c r="S33" s="24">
        <f t="shared" si="20"/>
        <v>34845.54</v>
      </c>
      <c r="T33" s="76">
        <f t="shared" si="16"/>
        <v>2160</v>
      </c>
      <c r="U33" s="76">
        <f t="shared" si="24"/>
        <v>505</v>
      </c>
      <c r="V33" s="22">
        <f t="shared" si="17"/>
        <v>589</v>
      </c>
      <c r="W33" s="22">
        <f t="shared" si="21"/>
        <v>7232.2584000000006</v>
      </c>
      <c r="X33" s="76">
        <f t="shared" si="22"/>
        <v>57.599999999999994</v>
      </c>
      <c r="Y33" s="22">
        <f t="shared" si="18"/>
        <v>738.61394227199992</v>
      </c>
      <c r="Z33" s="76">
        <f t="shared" si="19"/>
        <v>270</v>
      </c>
    </row>
    <row r="34" spans="1:26">
      <c r="A34">
        <v>48</v>
      </c>
      <c r="B34" s="1" t="s">
        <v>1049</v>
      </c>
      <c r="C34" s="1" t="s">
        <v>926</v>
      </c>
      <c r="D34" s="73" t="s">
        <v>811</v>
      </c>
      <c r="E34" t="s">
        <v>34</v>
      </c>
      <c r="F34" t="s">
        <v>8</v>
      </c>
      <c r="G34" t="s">
        <v>191</v>
      </c>
      <c r="H34" s="26">
        <v>1</v>
      </c>
      <c r="I34" s="75">
        <v>13.58</v>
      </c>
      <c r="J34" s="13">
        <f t="shared" si="14"/>
        <v>30012</v>
      </c>
      <c r="K34" s="24">
        <f t="shared" si="23"/>
        <v>900.36</v>
      </c>
      <c r="L34" s="24">
        <f t="shared" si="15"/>
        <v>30912.36</v>
      </c>
      <c r="Q34" s="24">
        <v>2000</v>
      </c>
      <c r="R34" s="24">
        <v>1000</v>
      </c>
      <c r="S34" s="24">
        <f t="shared" si="20"/>
        <v>33912.36</v>
      </c>
      <c r="T34" s="76">
        <f t="shared" si="16"/>
        <v>2103</v>
      </c>
      <c r="U34" s="76">
        <f t="shared" si="24"/>
        <v>492</v>
      </c>
      <c r="V34" s="22">
        <f t="shared" si="17"/>
        <v>573</v>
      </c>
      <c r="W34" s="22">
        <f t="shared" si="21"/>
        <v>7232.2584000000006</v>
      </c>
      <c r="X34" s="76">
        <f t="shared" si="22"/>
        <v>57.599999999999994</v>
      </c>
      <c r="Y34" s="22">
        <f t="shared" si="18"/>
        <v>718.83351244799996</v>
      </c>
      <c r="Z34" s="76">
        <f t="shared" si="19"/>
        <v>270</v>
      </c>
    </row>
    <row r="35" spans="1:26">
      <c r="B35" t="s">
        <v>898</v>
      </c>
      <c r="C35" t="s">
        <v>933</v>
      </c>
      <c r="D35" s="73" t="s">
        <v>811</v>
      </c>
      <c r="E35" t="s">
        <v>34</v>
      </c>
      <c r="F35" t="s">
        <v>8</v>
      </c>
      <c r="G35" t="s">
        <v>191</v>
      </c>
      <c r="H35" s="26">
        <v>1</v>
      </c>
      <c r="I35" s="75">
        <v>14.91</v>
      </c>
      <c r="J35" s="13">
        <f t="shared" si="14"/>
        <v>32951</v>
      </c>
      <c r="K35" s="24">
        <f t="shared" si="23"/>
        <v>988.53</v>
      </c>
      <c r="L35" s="24">
        <f>SUM(J35:K35)</f>
        <v>33939.53</v>
      </c>
      <c r="Q35" s="24">
        <v>2000</v>
      </c>
      <c r="R35" s="24">
        <v>1000</v>
      </c>
      <c r="S35" s="24">
        <f>SUM(L35:R35)</f>
        <v>36939.53</v>
      </c>
      <c r="T35" s="76">
        <f>ROUND(S35*0.062,0)</f>
        <v>2290</v>
      </c>
      <c r="U35" s="76">
        <f>ROUND(S35*0.0145,0)</f>
        <v>536</v>
      </c>
      <c r="V35" s="22">
        <f t="shared" si="17"/>
        <v>624</v>
      </c>
      <c r="W35" s="22">
        <f t="shared" si="21"/>
        <v>7232.2584000000006</v>
      </c>
      <c r="X35" s="76">
        <f t="shared" si="22"/>
        <v>57.599999999999994</v>
      </c>
      <c r="Y35" s="22">
        <f t="shared" si="18"/>
        <v>782.99982950399988</v>
      </c>
      <c r="Z35" s="76">
        <f>(9000*0.03)</f>
        <v>270</v>
      </c>
    </row>
    <row r="36" spans="1:26">
      <c r="B36" s="1" t="s">
        <v>898</v>
      </c>
      <c r="C36" s="1" t="s">
        <v>13</v>
      </c>
      <c r="D36" s="73" t="s">
        <v>811</v>
      </c>
      <c r="E36" t="s">
        <v>34</v>
      </c>
      <c r="F36" t="s">
        <v>8</v>
      </c>
      <c r="G36" t="s">
        <v>191</v>
      </c>
      <c r="H36" s="26">
        <v>1</v>
      </c>
      <c r="I36" s="75">
        <v>13.58</v>
      </c>
      <c r="J36" s="13">
        <f t="shared" si="14"/>
        <v>30012</v>
      </c>
      <c r="K36" s="24">
        <f t="shared" si="23"/>
        <v>900.36</v>
      </c>
      <c r="L36" s="24">
        <f>SUM(J36:K36)</f>
        <v>30912.36</v>
      </c>
      <c r="Q36" s="24">
        <v>2000</v>
      </c>
      <c r="R36" s="24">
        <v>1875</v>
      </c>
      <c r="S36" s="24">
        <f>SUM(L36:R36)</f>
        <v>34787.360000000001</v>
      </c>
      <c r="T36" s="76">
        <f>ROUND(S36*0.062,0)</f>
        <v>2157</v>
      </c>
      <c r="U36" s="76">
        <f>ROUND(S36*0.0145,0)</f>
        <v>504</v>
      </c>
      <c r="V36" s="22">
        <f t="shared" si="17"/>
        <v>588</v>
      </c>
      <c r="W36" s="22">
        <f t="shared" si="21"/>
        <v>7232.2584000000006</v>
      </c>
      <c r="X36" s="76">
        <f t="shared" si="22"/>
        <v>57.599999999999994</v>
      </c>
      <c r="Y36" s="22">
        <f>((S36*0.0384)*0.69)*0.8</f>
        <v>737.38071244799994</v>
      </c>
      <c r="Z36" s="76">
        <f>(9000*0.03)</f>
        <v>270</v>
      </c>
    </row>
    <row r="37" spans="1:26">
      <c r="D37" s="74"/>
      <c r="H37" s="26"/>
      <c r="I37" s="59"/>
      <c r="J37" s="13"/>
      <c r="K37" s="24"/>
      <c r="L37" s="24"/>
      <c r="S37" s="24">
        <f t="shared" si="20"/>
        <v>0</v>
      </c>
      <c r="T37" s="22"/>
      <c r="U37" s="22"/>
      <c r="V37" s="22"/>
      <c r="W37" s="22"/>
      <c r="X37" s="22"/>
      <c r="Y37" s="22"/>
      <c r="Z37" s="22"/>
    </row>
    <row r="38" spans="1:26">
      <c r="A38">
        <v>48</v>
      </c>
      <c r="B38" t="s">
        <v>1054</v>
      </c>
      <c r="C38" t="s">
        <v>1055</v>
      </c>
      <c r="D38" s="73" t="s">
        <v>811</v>
      </c>
      <c r="E38" t="s">
        <v>34</v>
      </c>
      <c r="F38" t="s">
        <v>8</v>
      </c>
      <c r="G38" t="s">
        <v>763</v>
      </c>
      <c r="H38" s="26">
        <v>1</v>
      </c>
      <c r="I38" s="71">
        <v>12</v>
      </c>
      <c r="J38" s="13">
        <f>IF(E38="H",ROUND(I38*2080,0),ROUND(I38*26,0))</f>
        <v>24960</v>
      </c>
      <c r="K38" s="24">
        <f t="shared" ref="K38:K46" si="25">J38*$K$6</f>
        <v>748.8</v>
      </c>
      <c r="L38" s="24">
        <f t="shared" ref="L38:L43" si="26">SUM(J38:K38)</f>
        <v>25708.799999999999</v>
      </c>
      <c r="Q38" s="24">
        <v>1000</v>
      </c>
      <c r="S38" s="24">
        <f t="shared" si="20"/>
        <v>26708.799999999999</v>
      </c>
      <c r="T38" s="22">
        <f t="shared" ref="T38:T43" si="27">ROUND(S38*0.062,0)</f>
        <v>1656</v>
      </c>
      <c r="U38" s="22">
        <f t="shared" ref="U38:U43" si="28">ROUND(S38*0.0145,0)</f>
        <v>387</v>
      </c>
      <c r="V38" s="22">
        <f t="shared" si="17"/>
        <v>451</v>
      </c>
      <c r="W38" s="22">
        <f t="shared" ref="W38:W43" si="29">(563.26*12)*$W$5</f>
        <v>7232.2584000000006</v>
      </c>
      <c r="X38" s="76">
        <f t="shared" ref="X38:X43" si="30">(4.8*12)</f>
        <v>57.599999999999994</v>
      </c>
      <c r="Y38" s="22">
        <f>((S38*0.044)*0.69)*0.8</f>
        <v>648.7033343999999</v>
      </c>
      <c r="Z38" s="22">
        <f t="shared" ref="Z38:Z46" si="31">(9000*0.03)</f>
        <v>270</v>
      </c>
    </row>
    <row r="39" spans="1:26">
      <c r="B39" t="s">
        <v>1057</v>
      </c>
      <c r="C39" t="s">
        <v>677</v>
      </c>
      <c r="D39" s="73" t="s">
        <v>811</v>
      </c>
      <c r="E39" t="s">
        <v>34</v>
      </c>
      <c r="F39" t="s">
        <v>8</v>
      </c>
      <c r="G39" t="s">
        <v>763</v>
      </c>
      <c r="H39" s="26">
        <v>1</v>
      </c>
      <c r="I39" s="71">
        <v>11</v>
      </c>
      <c r="J39" s="13">
        <f>IF(E39="H",ROUND(I39*2080,0),ROUND(I39*26,0))</f>
        <v>22880</v>
      </c>
      <c r="K39" s="24">
        <f t="shared" si="25"/>
        <v>686.4</v>
      </c>
      <c r="L39" s="24">
        <f t="shared" si="26"/>
        <v>23566.400000000001</v>
      </c>
      <c r="Q39" s="24">
        <v>1000</v>
      </c>
      <c r="S39" s="24">
        <f t="shared" si="20"/>
        <v>24566.400000000001</v>
      </c>
      <c r="T39" s="22">
        <f t="shared" si="27"/>
        <v>1523</v>
      </c>
      <c r="U39" s="22">
        <f t="shared" si="28"/>
        <v>356</v>
      </c>
      <c r="V39" s="22">
        <f t="shared" si="17"/>
        <v>415</v>
      </c>
      <c r="W39" s="22">
        <f t="shared" si="29"/>
        <v>7232.2584000000006</v>
      </c>
      <c r="X39" s="76">
        <f t="shared" si="30"/>
        <v>57.599999999999994</v>
      </c>
      <c r="Y39" s="22">
        <f>((S39*0.044)*0.69)*0.8</f>
        <v>596.66872319999993</v>
      </c>
      <c r="Z39" s="22">
        <f t="shared" si="31"/>
        <v>270</v>
      </c>
    </row>
    <row r="40" spans="1:26">
      <c r="B40" s="1" t="s">
        <v>1160</v>
      </c>
      <c r="C40" s="1" t="s">
        <v>1161</v>
      </c>
      <c r="D40" s="73" t="s">
        <v>811</v>
      </c>
      <c r="E40" t="s">
        <v>34</v>
      </c>
      <c r="F40" t="s">
        <v>8</v>
      </c>
      <c r="G40" t="s">
        <v>763</v>
      </c>
      <c r="H40" s="26">
        <v>1</v>
      </c>
      <c r="I40" s="71">
        <v>11</v>
      </c>
      <c r="J40" s="13">
        <f>IF(E40="H",ROUND(I40*2080,0),ROUND(I40*26,0))</f>
        <v>22880</v>
      </c>
      <c r="K40" s="24">
        <f t="shared" si="25"/>
        <v>686.4</v>
      </c>
      <c r="L40" s="24">
        <f t="shared" si="26"/>
        <v>23566.400000000001</v>
      </c>
      <c r="Q40" s="24">
        <v>1000</v>
      </c>
      <c r="S40" s="24">
        <f t="shared" si="20"/>
        <v>24566.400000000001</v>
      </c>
      <c r="T40" s="22">
        <f t="shared" si="27"/>
        <v>1523</v>
      </c>
      <c r="U40" s="22">
        <f t="shared" si="28"/>
        <v>356</v>
      </c>
      <c r="V40" s="22">
        <f t="shared" si="17"/>
        <v>415</v>
      </c>
      <c r="W40" s="22">
        <f t="shared" si="29"/>
        <v>7232.2584000000006</v>
      </c>
      <c r="X40" s="76">
        <f t="shared" si="30"/>
        <v>57.599999999999994</v>
      </c>
      <c r="Y40" s="22">
        <f>((S40*0.044)*0.69)*0.8</f>
        <v>596.66872319999993</v>
      </c>
      <c r="Z40" s="22">
        <f t="shared" si="31"/>
        <v>270</v>
      </c>
    </row>
    <row r="41" spans="1:26">
      <c r="A41">
        <v>56</v>
      </c>
      <c r="B41" s="1" t="s">
        <v>1162</v>
      </c>
      <c r="C41" s="1" t="s">
        <v>1114</v>
      </c>
      <c r="D41" s="73" t="s">
        <v>811</v>
      </c>
      <c r="E41" t="s">
        <v>34</v>
      </c>
      <c r="F41" t="s">
        <v>8</v>
      </c>
      <c r="G41" t="s">
        <v>763</v>
      </c>
      <c r="H41" s="26">
        <v>1</v>
      </c>
      <c r="I41" s="71">
        <v>11</v>
      </c>
      <c r="J41" s="13">
        <f>IF(E41="H",ROUND(I41*2080,0),ROUND(I41*26,0))</f>
        <v>22880</v>
      </c>
      <c r="K41" s="24">
        <f t="shared" si="25"/>
        <v>686.4</v>
      </c>
      <c r="L41" s="24">
        <f t="shared" si="26"/>
        <v>23566.400000000001</v>
      </c>
      <c r="Q41" s="24">
        <v>1000</v>
      </c>
      <c r="S41" s="24">
        <f>SUM(L41:R41)</f>
        <v>24566.400000000001</v>
      </c>
      <c r="T41" s="22">
        <f t="shared" si="27"/>
        <v>1523</v>
      </c>
      <c r="U41" s="22">
        <f t="shared" si="28"/>
        <v>356</v>
      </c>
      <c r="V41" s="22">
        <f t="shared" si="17"/>
        <v>415</v>
      </c>
      <c r="W41" s="22">
        <f t="shared" si="29"/>
        <v>7232.2584000000006</v>
      </c>
      <c r="X41" s="76">
        <f t="shared" si="30"/>
        <v>57.599999999999994</v>
      </c>
      <c r="Y41" s="22">
        <f>((S41*0.044)*0.69)*0.8</f>
        <v>596.66872319999993</v>
      </c>
      <c r="Z41" s="22">
        <f t="shared" si="31"/>
        <v>270</v>
      </c>
    </row>
    <row r="42" spans="1:26">
      <c r="D42" s="73" t="s">
        <v>811</v>
      </c>
      <c r="E42" t="s">
        <v>34</v>
      </c>
      <c r="F42" t="s">
        <v>8</v>
      </c>
      <c r="G42" t="s">
        <v>763</v>
      </c>
      <c r="H42" s="26">
        <v>1</v>
      </c>
      <c r="I42" s="71">
        <v>11</v>
      </c>
      <c r="J42" s="13">
        <f>IF(E42="H",ROUND(I42*2080,0),ROUND(I42*26,0))</f>
        <v>22880</v>
      </c>
      <c r="K42" s="24">
        <v>0</v>
      </c>
      <c r="L42" s="24">
        <f t="shared" si="26"/>
        <v>22880</v>
      </c>
      <c r="Q42" s="24">
        <v>1000</v>
      </c>
      <c r="S42" s="24">
        <f>SUM(L42:R42)</f>
        <v>23880</v>
      </c>
      <c r="T42" s="22">
        <f t="shared" si="27"/>
        <v>1481</v>
      </c>
      <c r="U42" s="22">
        <f t="shared" si="28"/>
        <v>346</v>
      </c>
      <c r="V42" s="22">
        <f>(ROUND(S42*$V$5,0))</f>
        <v>404</v>
      </c>
      <c r="W42" s="22">
        <f t="shared" si="29"/>
        <v>7232.2584000000006</v>
      </c>
      <c r="X42" s="76">
        <f t="shared" si="30"/>
        <v>57.599999999999994</v>
      </c>
      <c r="Y42" s="22">
        <f>((S42*0.044)*0.69)*0.8</f>
        <v>579.99743999999998</v>
      </c>
      <c r="Z42" s="22">
        <f t="shared" si="31"/>
        <v>270</v>
      </c>
    </row>
    <row r="43" spans="1:26">
      <c r="A43">
        <v>48</v>
      </c>
      <c r="D43" s="6">
        <v>10</v>
      </c>
      <c r="E43" t="s">
        <v>34</v>
      </c>
      <c r="F43" t="s">
        <v>8</v>
      </c>
      <c r="G43" s="1" t="s">
        <v>1187</v>
      </c>
      <c r="H43" s="26">
        <v>1</v>
      </c>
      <c r="I43" s="71">
        <v>11</v>
      </c>
      <c r="J43" s="13">
        <f>IF(E43="H",ROUND(I43*2210,0),ROUND(I43*26,0))</f>
        <v>24310</v>
      </c>
      <c r="K43" s="24">
        <v>0</v>
      </c>
      <c r="L43" s="24">
        <f t="shared" si="26"/>
        <v>24310</v>
      </c>
      <c r="Q43" s="24">
        <v>2000</v>
      </c>
      <c r="S43" s="24">
        <f>SUM(L43:Q43)</f>
        <v>26310</v>
      </c>
      <c r="T43" s="22">
        <f t="shared" si="27"/>
        <v>1631</v>
      </c>
      <c r="U43" s="22">
        <f t="shared" si="28"/>
        <v>381</v>
      </c>
      <c r="V43" s="22">
        <f>(ROUND(S43*$V$5,0))</f>
        <v>445</v>
      </c>
      <c r="W43" s="62">
        <f t="shared" si="29"/>
        <v>7232.2584000000006</v>
      </c>
      <c r="X43" s="76">
        <f t="shared" si="30"/>
        <v>57.599999999999994</v>
      </c>
      <c r="Y43" s="22">
        <f>((S43*0.0384)*0.69)*0.8</f>
        <v>557.6878079999999</v>
      </c>
      <c r="Z43" s="22">
        <f>(9000*0.03)</f>
        <v>270</v>
      </c>
    </row>
    <row r="44" spans="1:26">
      <c r="D44" s="73"/>
      <c r="H44" s="26"/>
      <c r="I44" s="71"/>
      <c r="J44" s="13"/>
      <c r="K44" s="24"/>
      <c r="L44" s="24"/>
      <c r="S44" s="24">
        <f t="shared" si="20"/>
        <v>0</v>
      </c>
      <c r="T44" s="22"/>
      <c r="U44" s="22"/>
      <c r="V44" s="22"/>
      <c r="W44" s="22"/>
      <c r="X44" s="22"/>
      <c r="Y44" s="22"/>
      <c r="Z44" s="22"/>
    </row>
    <row r="45" spans="1:26">
      <c r="B45" t="s">
        <v>1056</v>
      </c>
      <c r="C45" t="s">
        <v>677</v>
      </c>
      <c r="D45" s="73" t="s">
        <v>811</v>
      </c>
      <c r="E45" t="s">
        <v>34</v>
      </c>
      <c r="F45" t="s">
        <v>8</v>
      </c>
      <c r="G45" t="s">
        <v>654</v>
      </c>
      <c r="H45" s="26">
        <v>1</v>
      </c>
      <c r="I45" s="71">
        <v>11</v>
      </c>
      <c r="J45" s="13">
        <f>IF(E45="H",ROUND(I45*2080,0),ROUND(I45*26,0))</f>
        <v>22880</v>
      </c>
      <c r="K45" s="24">
        <f t="shared" si="25"/>
        <v>686.4</v>
      </c>
      <c r="L45" s="24">
        <f>SUM(J45:K45)</f>
        <v>23566.400000000001</v>
      </c>
      <c r="Q45" s="24">
        <v>1000</v>
      </c>
      <c r="S45" s="24">
        <f t="shared" si="20"/>
        <v>24566.400000000001</v>
      </c>
      <c r="T45" s="22">
        <f>ROUND(S45*0.062,0)</f>
        <v>1523</v>
      </c>
      <c r="U45" s="22">
        <f>ROUND(S45*0.0145,0)</f>
        <v>356</v>
      </c>
      <c r="V45" s="22">
        <f t="shared" si="17"/>
        <v>415</v>
      </c>
      <c r="W45" s="22">
        <f>(563.26*12)*$W$5</f>
        <v>7232.2584000000006</v>
      </c>
      <c r="X45" s="76">
        <f>(4.8*12)</f>
        <v>57.599999999999994</v>
      </c>
      <c r="Y45" s="22">
        <f>((S45*0.044)*0.69)*0.8</f>
        <v>596.66872319999993</v>
      </c>
      <c r="Z45" s="22">
        <f t="shared" si="31"/>
        <v>270</v>
      </c>
    </row>
    <row r="46" spans="1:26">
      <c r="B46" s="1"/>
      <c r="D46" s="73" t="s">
        <v>811</v>
      </c>
      <c r="E46" t="s">
        <v>34</v>
      </c>
      <c r="F46" t="s">
        <v>8</v>
      </c>
      <c r="G46" t="s">
        <v>241</v>
      </c>
      <c r="H46" s="27" t="s">
        <v>242</v>
      </c>
      <c r="I46" s="71">
        <v>8.25</v>
      </c>
      <c r="J46" s="22">
        <f>IF(E46="H",ROUND(I46*2080/4,0),ROUND(I46*26,0))</f>
        <v>4290</v>
      </c>
      <c r="K46" s="24">
        <f t="shared" si="25"/>
        <v>128.69999999999999</v>
      </c>
      <c r="L46" s="24">
        <f>SUM(J46:K46)</f>
        <v>4418.7</v>
      </c>
      <c r="S46" s="24">
        <f t="shared" si="20"/>
        <v>4418.7</v>
      </c>
      <c r="T46" s="22">
        <f>ROUND(S46*0.062,0)</f>
        <v>274</v>
      </c>
      <c r="U46" s="22">
        <f>ROUND(S46*0.0145,0)</f>
        <v>64</v>
      </c>
      <c r="V46" s="22">
        <f t="shared" si="17"/>
        <v>75</v>
      </c>
      <c r="W46" s="62">
        <f>((563.26*12)*0.25)*$W$5</f>
        <v>1808.0646000000002</v>
      </c>
      <c r="X46" s="76">
        <f>(4.8*12)</f>
        <v>57.599999999999994</v>
      </c>
      <c r="Y46" s="22">
        <f>((S46*0.044)*0.69)*0.8</f>
        <v>107.32138559999997</v>
      </c>
      <c r="Z46" s="22">
        <f t="shared" si="31"/>
        <v>270</v>
      </c>
    </row>
    <row r="47" spans="1:26">
      <c r="F47" s="7" t="s">
        <v>56</v>
      </c>
      <c r="H47" s="26"/>
      <c r="I47" s="71"/>
      <c r="J47" s="9">
        <f t="shared" ref="J47:Z47" si="32">SUM(J22:J46)</f>
        <v>726046</v>
      </c>
      <c r="K47" s="9">
        <f t="shared" si="32"/>
        <v>33872.910000000003</v>
      </c>
      <c r="L47" s="9">
        <f t="shared" si="32"/>
        <v>759918.91</v>
      </c>
      <c r="M47" s="36">
        <f t="shared" si="32"/>
        <v>3600</v>
      </c>
      <c r="N47" s="36">
        <f t="shared" si="32"/>
        <v>0</v>
      </c>
      <c r="O47" s="36">
        <f t="shared" si="32"/>
        <v>960</v>
      </c>
      <c r="P47" s="9">
        <f t="shared" si="32"/>
        <v>0</v>
      </c>
      <c r="Q47" s="36">
        <f t="shared" si="32"/>
        <v>30000</v>
      </c>
      <c r="R47" s="36">
        <f t="shared" si="32"/>
        <v>21875</v>
      </c>
      <c r="S47" s="9">
        <f t="shared" si="32"/>
        <v>816353.91000000015</v>
      </c>
      <c r="T47" s="9">
        <f t="shared" si="32"/>
        <v>50615</v>
      </c>
      <c r="U47" s="9">
        <f t="shared" si="32"/>
        <v>11835</v>
      </c>
      <c r="V47" s="9">
        <f t="shared" si="32"/>
        <v>13796</v>
      </c>
      <c r="W47" s="9">
        <f t="shared" si="32"/>
        <v>153685.49100000004</v>
      </c>
      <c r="X47" s="9">
        <f t="shared" si="32"/>
        <v>1324.7999999999997</v>
      </c>
      <c r="Y47" s="9">
        <f t="shared" si="32"/>
        <v>17777.888366208001</v>
      </c>
      <c r="Z47" s="9">
        <f t="shared" si="32"/>
        <v>6210</v>
      </c>
    </row>
    <row r="48" spans="1:26">
      <c r="F48" s="7"/>
      <c r="H48" s="26"/>
      <c r="I48" s="71"/>
      <c r="J48" s="2"/>
      <c r="K48" s="2"/>
      <c r="L48" s="2"/>
      <c r="P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H49" s="26"/>
      <c r="I49" s="71"/>
      <c r="J49" s="13"/>
      <c r="K49" s="24"/>
      <c r="L49" s="24"/>
      <c r="S49" s="24"/>
      <c r="T49" s="22"/>
      <c r="U49" s="22"/>
      <c r="V49" s="22"/>
      <c r="W49" s="62"/>
      <c r="X49" s="22"/>
      <c r="Y49" s="22"/>
      <c r="Z49" s="22"/>
    </row>
    <row r="50" spans="1:26">
      <c r="B50" t="s">
        <v>1128</v>
      </c>
      <c r="D50">
        <v>2000</v>
      </c>
      <c r="E50" t="s">
        <v>34</v>
      </c>
      <c r="F50" t="s">
        <v>10</v>
      </c>
      <c r="G50" t="s">
        <v>817</v>
      </c>
      <c r="H50" s="26">
        <v>1</v>
      </c>
      <c r="I50" s="59">
        <v>11.78</v>
      </c>
      <c r="J50" s="13">
        <f>IF(E50="H",ROUND(I50*2080,0),ROUND(I50*26,0))</f>
        <v>24502</v>
      </c>
      <c r="K50" s="24">
        <v>2370.8000000000002</v>
      </c>
      <c r="L50" s="24">
        <f>SUM(J50:K50)</f>
        <v>26872.799999999999</v>
      </c>
      <c r="Q50" s="24">
        <v>4000</v>
      </c>
      <c r="S50" s="24">
        <f>SUM(L50:Q50)</f>
        <v>30872.799999999999</v>
      </c>
      <c r="T50" s="22"/>
      <c r="U50" s="22"/>
      <c r="V50" s="22"/>
      <c r="W50" s="62"/>
      <c r="X50" s="22"/>
      <c r="Y50" s="22"/>
      <c r="Z50" s="22"/>
    </row>
    <row r="51" spans="1:26" ht="13.5" customHeight="1">
      <c r="B51" t="s">
        <v>1128</v>
      </c>
      <c r="D51">
        <v>2200</v>
      </c>
      <c r="E51" t="s">
        <v>34</v>
      </c>
      <c r="F51" t="s">
        <v>10</v>
      </c>
      <c r="G51" t="s">
        <v>817</v>
      </c>
      <c r="H51" s="26">
        <v>1</v>
      </c>
      <c r="I51" s="59">
        <v>11.78</v>
      </c>
      <c r="J51" s="13">
        <f>IF(E51="H",ROUND(I51*2080,0),ROUND(I51*26,0))</f>
        <v>24502</v>
      </c>
      <c r="K51" s="24">
        <v>2370.8000000000002</v>
      </c>
      <c r="L51" s="24">
        <f>SUM(J51:K51)</f>
        <v>26872.799999999999</v>
      </c>
      <c r="Q51" s="24">
        <v>500</v>
      </c>
      <c r="S51" s="24">
        <f>SUM(L51:Q51)</f>
        <v>27372.799999999999</v>
      </c>
      <c r="T51" s="22"/>
      <c r="U51" s="22"/>
      <c r="V51" s="22"/>
      <c r="W51" s="62"/>
      <c r="X51" s="22"/>
      <c r="Y51" s="22"/>
      <c r="Z51" s="22"/>
    </row>
    <row r="52" spans="1:26">
      <c r="F52" s="7" t="s">
        <v>139</v>
      </c>
      <c r="H52" s="26"/>
      <c r="I52" s="71"/>
      <c r="J52" s="8">
        <f>SUM(J50:J51)</f>
        <v>49004</v>
      </c>
      <c r="K52" s="8">
        <f t="shared" ref="K52:Z52" si="33">SUM(K50:K51)</f>
        <v>4741.6000000000004</v>
      </c>
      <c r="L52" s="8">
        <f t="shared" si="33"/>
        <v>53745.599999999999</v>
      </c>
      <c r="M52" s="8">
        <f t="shared" si="33"/>
        <v>0</v>
      </c>
      <c r="N52" s="8">
        <f t="shared" si="33"/>
        <v>0</v>
      </c>
      <c r="O52" s="8">
        <f t="shared" si="33"/>
        <v>0</v>
      </c>
      <c r="P52" s="8">
        <f t="shared" si="33"/>
        <v>0</v>
      </c>
      <c r="Q52" s="8">
        <f t="shared" si="33"/>
        <v>4500</v>
      </c>
      <c r="R52" s="8">
        <f t="shared" si="33"/>
        <v>0</v>
      </c>
      <c r="S52" s="8">
        <f t="shared" si="33"/>
        <v>58245.599999999999</v>
      </c>
      <c r="T52" s="8">
        <f t="shared" si="33"/>
        <v>0</v>
      </c>
      <c r="U52" s="8">
        <f t="shared" si="33"/>
        <v>0</v>
      </c>
      <c r="V52" s="8">
        <f t="shared" si="33"/>
        <v>0</v>
      </c>
      <c r="W52" s="8">
        <f t="shared" si="33"/>
        <v>0</v>
      </c>
      <c r="X52" s="8">
        <f t="shared" si="33"/>
        <v>0</v>
      </c>
      <c r="Y52" s="8">
        <f t="shared" si="33"/>
        <v>0</v>
      </c>
      <c r="Z52" s="8">
        <f t="shared" si="33"/>
        <v>0</v>
      </c>
    </row>
    <row r="53" spans="1:26">
      <c r="F53" s="7"/>
      <c r="H53" s="26"/>
      <c r="I53" s="71"/>
      <c r="J53" s="2"/>
      <c r="K53" s="2"/>
      <c r="L53" s="2"/>
      <c r="P53" s="2"/>
      <c r="S53" s="2"/>
      <c r="T53" s="2"/>
      <c r="U53" s="2"/>
      <c r="V53" s="2"/>
      <c r="W53" s="2"/>
      <c r="X53" s="2"/>
      <c r="Y53" s="2"/>
      <c r="Z53" s="2"/>
    </row>
    <row r="54" spans="1:26">
      <c r="H54" s="26"/>
      <c r="I54" s="71"/>
      <c r="J54" s="2"/>
      <c r="T54" s="13"/>
      <c r="U54" s="13"/>
      <c r="V54" s="13"/>
      <c r="W54" s="61"/>
      <c r="X54" s="13"/>
      <c r="Y54" s="13"/>
      <c r="Z54" s="13"/>
    </row>
    <row r="55" spans="1:26">
      <c r="A55" s="72"/>
      <c r="B55" t="s">
        <v>1058</v>
      </c>
      <c r="C55" t="s">
        <v>1059</v>
      </c>
      <c r="D55" s="6">
        <v>10</v>
      </c>
      <c r="E55" t="s">
        <v>34</v>
      </c>
      <c r="F55" t="s">
        <v>922</v>
      </c>
      <c r="G55" t="s">
        <v>765</v>
      </c>
      <c r="H55" s="26">
        <v>1</v>
      </c>
      <c r="I55" s="71">
        <v>13.58</v>
      </c>
      <c r="J55" s="13">
        <f>IF(E55="H",ROUND(I55*2080,0),ROUND(I55*26,0))</f>
        <v>28246</v>
      </c>
      <c r="K55" s="24">
        <f>J55*$K$6</f>
        <v>847.38</v>
      </c>
      <c r="L55" s="24">
        <f>SUM(J55:K55)</f>
        <v>29093.38</v>
      </c>
      <c r="Q55" s="24">
        <v>2000</v>
      </c>
      <c r="S55" s="24">
        <f>SUM(L55:R55)</f>
        <v>31093.38</v>
      </c>
      <c r="T55" s="22">
        <f>ROUND(S55*0.062,0)</f>
        <v>1928</v>
      </c>
      <c r="U55" s="22">
        <f>ROUND(S55*0.0145,0)</f>
        <v>451</v>
      </c>
      <c r="V55" s="22">
        <f>(ROUND(S55*$V$5,0))</f>
        <v>525</v>
      </c>
      <c r="W55" s="62">
        <f>(563.26*12)*$W$5</f>
        <v>7232.2584000000006</v>
      </c>
      <c r="X55" s="76">
        <f>(4.8*12)</f>
        <v>57.599999999999994</v>
      </c>
      <c r="Y55" s="22">
        <f>((S55*0.044)*0.69)*0.8</f>
        <v>755.19601344</v>
      </c>
      <c r="Z55" s="22">
        <f>(9000*0.03)</f>
        <v>270</v>
      </c>
    </row>
    <row r="56" spans="1:26">
      <c r="A56">
        <v>48</v>
      </c>
      <c r="B56" t="s">
        <v>934</v>
      </c>
      <c r="C56" t="s">
        <v>935</v>
      </c>
      <c r="D56" s="6">
        <v>10</v>
      </c>
      <c r="E56" t="s">
        <v>34</v>
      </c>
      <c r="F56" t="s">
        <v>922</v>
      </c>
      <c r="G56" t="s">
        <v>765</v>
      </c>
      <c r="H56" s="26">
        <v>1</v>
      </c>
      <c r="I56" s="71">
        <v>14.08</v>
      </c>
      <c r="J56" s="13">
        <f>IF(E56="H",ROUND(I56*2210,0),ROUND(I56*26,0))</f>
        <v>31117</v>
      </c>
      <c r="K56" s="24">
        <f>J56*$K$6</f>
        <v>933.51</v>
      </c>
      <c r="L56" s="24">
        <f>SUM(J56:K56)</f>
        <v>32050.51</v>
      </c>
      <c r="Q56" s="24">
        <v>2000</v>
      </c>
      <c r="S56" s="24">
        <f>SUM(L56:Q56)</f>
        <v>34050.509999999995</v>
      </c>
      <c r="T56" s="22">
        <f>ROUND(S56*0.062,0)</f>
        <v>2111</v>
      </c>
      <c r="U56" s="22">
        <f>ROUND(S56*0.0145,0)</f>
        <v>494</v>
      </c>
      <c r="V56" s="22">
        <f>(ROUND(S56*$V$5,0))</f>
        <v>575</v>
      </c>
      <c r="W56" s="62">
        <f>(563.26*12)*$W$5</f>
        <v>7232.2584000000006</v>
      </c>
      <c r="X56" s="76">
        <f>(4.8*12)</f>
        <v>57.599999999999994</v>
      </c>
      <c r="Y56" s="22">
        <f>((S56*0.0384)*0.69)*0.8</f>
        <v>721.76185036799984</v>
      </c>
      <c r="Z56" s="22">
        <f>(9000*0.03)</f>
        <v>270</v>
      </c>
    </row>
    <row r="57" spans="1:26">
      <c r="C57" t="s">
        <v>692</v>
      </c>
      <c r="F57" s="7" t="s">
        <v>764</v>
      </c>
      <c r="I57" s="59"/>
      <c r="J57" s="8">
        <f t="shared" ref="J57:Z57" si="34">SUM(J55:J56)</f>
        <v>59363</v>
      </c>
      <c r="K57" s="8">
        <f t="shared" si="34"/>
        <v>1780.8899999999999</v>
      </c>
      <c r="L57" s="8">
        <f t="shared" si="34"/>
        <v>61143.89</v>
      </c>
      <c r="M57" s="8">
        <f t="shared" si="34"/>
        <v>0</v>
      </c>
      <c r="N57" s="8">
        <f t="shared" si="34"/>
        <v>0</v>
      </c>
      <c r="O57" s="8">
        <f t="shared" si="34"/>
        <v>0</v>
      </c>
      <c r="P57" s="8">
        <f t="shared" si="34"/>
        <v>0</v>
      </c>
      <c r="Q57" s="8">
        <f t="shared" si="34"/>
        <v>4000</v>
      </c>
      <c r="R57" s="8">
        <f t="shared" si="34"/>
        <v>0</v>
      </c>
      <c r="S57" s="8">
        <f t="shared" si="34"/>
        <v>65143.89</v>
      </c>
      <c r="T57" s="8">
        <f t="shared" si="34"/>
        <v>4039</v>
      </c>
      <c r="U57" s="8">
        <f t="shared" si="34"/>
        <v>945</v>
      </c>
      <c r="V57" s="8">
        <f t="shared" si="34"/>
        <v>1100</v>
      </c>
      <c r="W57" s="79">
        <f t="shared" si="34"/>
        <v>14464.516800000001</v>
      </c>
      <c r="X57" s="8">
        <f t="shared" si="34"/>
        <v>115.19999999999999</v>
      </c>
      <c r="Y57" s="8">
        <f t="shared" si="34"/>
        <v>1476.9578638079997</v>
      </c>
      <c r="Z57" s="8">
        <f t="shared" si="34"/>
        <v>540</v>
      </c>
    </row>
    <row r="58" spans="1:26">
      <c r="F58" s="7"/>
      <c r="I58" s="59"/>
      <c r="J58" s="17"/>
      <c r="K58" s="38"/>
      <c r="L58" s="38"/>
      <c r="M58" s="30"/>
      <c r="N58" s="30"/>
      <c r="O58" s="30"/>
      <c r="P58" s="17"/>
      <c r="Q58" s="30"/>
      <c r="R58" s="30"/>
      <c r="S58" s="17"/>
      <c r="T58" s="17"/>
      <c r="U58" s="17"/>
      <c r="V58" s="17"/>
      <c r="W58" s="38"/>
      <c r="X58" s="17"/>
      <c r="Y58" s="17"/>
      <c r="Z58" s="17"/>
    </row>
    <row r="59" spans="1:26">
      <c r="H59" s="26"/>
      <c r="I59" s="59"/>
      <c r="J59" s="13"/>
      <c r="K59" s="24"/>
      <c r="L59" s="24"/>
      <c r="S59" s="24"/>
      <c r="T59" s="22"/>
      <c r="U59" s="22"/>
      <c r="V59" s="22"/>
      <c r="W59" s="62"/>
      <c r="X59" s="22"/>
      <c r="Y59" s="22"/>
      <c r="Z59" s="22"/>
    </row>
    <row r="60" spans="1:26">
      <c r="B60" t="s">
        <v>1128</v>
      </c>
      <c r="D60">
        <v>2200</v>
      </c>
      <c r="E60" t="s">
        <v>34</v>
      </c>
      <c r="F60" t="s">
        <v>10</v>
      </c>
      <c r="G60" s="1" t="s">
        <v>1181</v>
      </c>
      <c r="H60" s="26">
        <v>1</v>
      </c>
      <c r="I60" s="59">
        <v>11.78</v>
      </c>
      <c r="J60" s="13">
        <f>IF(E60="H",ROUND(I60*2080,0),ROUND(I60*26,0))</f>
        <v>24502</v>
      </c>
      <c r="K60" s="24">
        <v>2370.8000000000002</v>
      </c>
      <c r="L60" s="24">
        <f>SUM(J60:K60)</f>
        <v>26872.799999999999</v>
      </c>
      <c r="Q60" s="24">
        <v>250</v>
      </c>
      <c r="S60" s="24">
        <f>SUM(L60:Q60)</f>
        <v>27122.799999999999</v>
      </c>
      <c r="T60" s="22"/>
      <c r="U60" s="22"/>
      <c r="V60" s="22"/>
      <c r="W60" s="62"/>
      <c r="X60" s="22"/>
      <c r="Y60" s="22"/>
      <c r="Z60" s="22"/>
    </row>
    <row r="61" spans="1:26">
      <c r="F61" s="7" t="s">
        <v>57</v>
      </c>
      <c r="I61" s="59"/>
      <c r="J61" s="8">
        <f t="shared" ref="J61:Z61" si="35">SUM(J60:J60)</f>
        <v>24502</v>
      </c>
      <c r="K61" s="8">
        <f t="shared" si="35"/>
        <v>2370.8000000000002</v>
      </c>
      <c r="L61" s="8">
        <f t="shared" si="35"/>
        <v>26872.799999999999</v>
      </c>
      <c r="M61" s="8">
        <f t="shared" si="35"/>
        <v>0</v>
      </c>
      <c r="N61" s="8">
        <f t="shared" si="35"/>
        <v>0</v>
      </c>
      <c r="O61" s="8">
        <f t="shared" si="35"/>
        <v>0</v>
      </c>
      <c r="P61" s="8">
        <f t="shared" si="35"/>
        <v>0</v>
      </c>
      <c r="Q61" s="8">
        <f t="shared" si="35"/>
        <v>250</v>
      </c>
      <c r="R61" s="8">
        <f t="shared" si="35"/>
        <v>0</v>
      </c>
      <c r="S61" s="8">
        <f t="shared" si="35"/>
        <v>27122.799999999999</v>
      </c>
      <c r="T61" s="8">
        <f t="shared" si="35"/>
        <v>0</v>
      </c>
      <c r="U61" s="8">
        <f t="shared" si="35"/>
        <v>0</v>
      </c>
      <c r="V61" s="8">
        <f t="shared" si="35"/>
        <v>0</v>
      </c>
      <c r="W61" s="79">
        <f t="shared" si="35"/>
        <v>0</v>
      </c>
      <c r="X61" s="8">
        <f t="shared" si="35"/>
        <v>0</v>
      </c>
      <c r="Y61" s="8">
        <f t="shared" si="35"/>
        <v>0</v>
      </c>
      <c r="Z61" s="8">
        <f t="shared" si="35"/>
        <v>0</v>
      </c>
    </row>
    <row r="62" spans="1:26">
      <c r="F62" s="7"/>
      <c r="I62" s="59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38"/>
      <c r="X62" s="17"/>
      <c r="Y62" s="17"/>
      <c r="Z62" s="17"/>
    </row>
    <row r="63" spans="1:26">
      <c r="A63">
        <v>48</v>
      </c>
      <c r="D63" s="6">
        <v>15</v>
      </c>
      <c r="E63" t="s">
        <v>34</v>
      </c>
      <c r="F63" t="s">
        <v>1062</v>
      </c>
      <c r="G63" t="s">
        <v>1115</v>
      </c>
      <c r="H63" s="26">
        <v>1</v>
      </c>
      <c r="I63" s="71">
        <v>15</v>
      </c>
      <c r="J63" s="13">
        <f>IF(E63="H",ROUND(I63*440,0),ROUND(I63*26,0))</f>
        <v>6600</v>
      </c>
      <c r="K63" s="24">
        <v>0</v>
      </c>
      <c r="L63" s="24">
        <f>SUM(J63:K63)</f>
        <v>6600</v>
      </c>
      <c r="Q63" s="24">
        <v>0</v>
      </c>
      <c r="S63" s="24">
        <f>SUM(L63:Q63)</f>
        <v>6600</v>
      </c>
      <c r="T63" s="22">
        <f>ROUND(S63*0.062,0)</f>
        <v>409</v>
      </c>
      <c r="U63" s="22">
        <f>ROUND(S63*0.0145,0)</f>
        <v>96</v>
      </c>
      <c r="V63" s="22">
        <f>(ROUND(S63*$V$5,0))</f>
        <v>112</v>
      </c>
      <c r="W63" s="62">
        <v>0</v>
      </c>
      <c r="X63" s="76">
        <f>(4.8*12)</f>
        <v>57.599999999999994</v>
      </c>
      <c r="Y63" s="22">
        <f>(S63*0.038)</f>
        <v>250.79999999999998</v>
      </c>
      <c r="Z63" s="22">
        <f>(9000*0.03)</f>
        <v>270</v>
      </c>
    </row>
    <row r="64" spans="1:26">
      <c r="A64">
        <v>48</v>
      </c>
      <c r="D64" s="6">
        <v>15</v>
      </c>
      <c r="E64" t="s">
        <v>34</v>
      </c>
      <c r="F64" t="s">
        <v>1062</v>
      </c>
      <c r="G64" t="s">
        <v>1063</v>
      </c>
      <c r="H64" s="26">
        <v>1</v>
      </c>
      <c r="I64" s="71">
        <v>10</v>
      </c>
      <c r="J64" s="13">
        <f>IF(E64="H",ROUND(I64*2592,0),ROUND(I64*26,0))</f>
        <v>25920</v>
      </c>
      <c r="K64" s="24">
        <v>0</v>
      </c>
      <c r="L64" s="24">
        <f>SUM(J64:K64)</f>
        <v>25920</v>
      </c>
      <c r="Q64" s="24">
        <v>1000</v>
      </c>
      <c r="S64" s="24">
        <f>SUM(L64:Q64)</f>
        <v>26920</v>
      </c>
      <c r="T64" s="22">
        <f>ROUND(S64*0.062,0)</f>
        <v>1669</v>
      </c>
      <c r="U64" s="22">
        <f>ROUND(S64*0.0145,0)</f>
        <v>390</v>
      </c>
      <c r="V64" s="22">
        <f>(ROUND(S64*$V$5,0))</f>
        <v>455</v>
      </c>
      <c r="W64" s="62">
        <v>0</v>
      </c>
      <c r="X64" s="76">
        <f>(4.8*12)</f>
        <v>57.599999999999994</v>
      </c>
      <c r="Y64" s="22">
        <f>(S64*0.038)</f>
        <v>1022.9599999999999</v>
      </c>
      <c r="Z64" s="22">
        <f>(9000*0.03)</f>
        <v>270</v>
      </c>
    </row>
    <row r="65" spans="1:26">
      <c r="C65" t="s">
        <v>692</v>
      </c>
      <c r="F65" s="7" t="s">
        <v>1064</v>
      </c>
      <c r="I65" s="59"/>
      <c r="J65" s="8">
        <f>SUM(J63:J64)</f>
        <v>32520</v>
      </c>
      <c r="K65" s="8">
        <f t="shared" ref="K65:Z65" si="36">SUM(K63:K64)</f>
        <v>0</v>
      </c>
      <c r="L65" s="8">
        <f t="shared" si="36"/>
        <v>32520</v>
      </c>
      <c r="M65" s="8">
        <f t="shared" si="36"/>
        <v>0</v>
      </c>
      <c r="N65" s="8">
        <f t="shared" si="36"/>
        <v>0</v>
      </c>
      <c r="O65" s="8">
        <f t="shared" si="36"/>
        <v>0</v>
      </c>
      <c r="P65" s="8">
        <f t="shared" si="36"/>
        <v>0</v>
      </c>
      <c r="Q65" s="8">
        <f t="shared" si="36"/>
        <v>1000</v>
      </c>
      <c r="R65" s="8">
        <f t="shared" si="36"/>
        <v>0</v>
      </c>
      <c r="S65" s="8">
        <f t="shared" si="36"/>
        <v>33520</v>
      </c>
      <c r="T65" s="8">
        <f t="shared" si="36"/>
        <v>2078</v>
      </c>
      <c r="U65" s="8">
        <f t="shared" si="36"/>
        <v>486</v>
      </c>
      <c r="V65" s="8">
        <f t="shared" si="36"/>
        <v>567</v>
      </c>
      <c r="W65" s="79">
        <f t="shared" si="36"/>
        <v>0</v>
      </c>
      <c r="X65" s="8">
        <f t="shared" si="36"/>
        <v>115.19999999999999</v>
      </c>
      <c r="Y65" s="8">
        <f t="shared" si="36"/>
        <v>1273.76</v>
      </c>
      <c r="Z65" s="8">
        <f t="shared" si="36"/>
        <v>540</v>
      </c>
    </row>
    <row r="66" spans="1:26">
      <c r="I66" s="59"/>
      <c r="J66" s="2"/>
      <c r="K66" s="3"/>
      <c r="L66" s="3"/>
      <c r="P66" s="3"/>
      <c r="S66" s="3"/>
      <c r="T66" s="13"/>
      <c r="U66" s="13"/>
      <c r="V66" s="13"/>
      <c r="W66" s="61"/>
      <c r="X66" s="13"/>
      <c r="Y66" s="13"/>
      <c r="Z66" s="13"/>
    </row>
    <row r="67" spans="1:26">
      <c r="B67" t="s">
        <v>684</v>
      </c>
      <c r="C67" t="s">
        <v>685</v>
      </c>
      <c r="D67" s="6">
        <v>16</v>
      </c>
      <c r="E67" t="s">
        <v>35</v>
      </c>
      <c r="F67" t="s">
        <v>7</v>
      </c>
      <c r="G67" t="s">
        <v>6</v>
      </c>
      <c r="H67" s="26">
        <v>1</v>
      </c>
      <c r="I67" s="59">
        <v>1829.89</v>
      </c>
      <c r="J67" s="13">
        <f>IF(E67="H",ROUND(I67*2080,0),ROUND(I67*26,0))</f>
        <v>47577</v>
      </c>
      <c r="K67" s="24">
        <f>J67*$K$6</f>
        <v>1427.31</v>
      </c>
      <c r="L67" s="24">
        <f>SUM(J67:K67)</f>
        <v>49004.31</v>
      </c>
      <c r="S67" s="24">
        <f>SUM(L67:Q67)</f>
        <v>49004.31</v>
      </c>
      <c r="T67" s="22">
        <f>ROUND(S67*0.062,0)</f>
        <v>3038</v>
      </c>
      <c r="U67" s="22">
        <f>ROUND(S67*0.0145,0)</f>
        <v>711</v>
      </c>
      <c r="V67" s="22">
        <f>(ROUND(S67*$V$5,0))</f>
        <v>828</v>
      </c>
      <c r="W67" s="62">
        <f>(563.26*12)*$W$5</f>
        <v>7232.2584000000006</v>
      </c>
      <c r="X67" s="76">
        <f>(4.8*12)</f>
        <v>57.599999999999994</v>
      </c>
      <c r="Y67" s="22">
        <f>((S67*0.044)*0.69)*0.8</f>
        <v>1190.2166812799996</v>
      </c>
      <c r="Z67" s="22">
        <f>(9000*0.03)</f>
        <v>270</v>
      </c>
    </row>
    <row r="68" spans="1:26">
      <c r="A68">
        <v>29</v>
      </c>
      <c r="B68" t="s">
        <v>1116</v>
      </c>
      <c r="C68" t="s">
        <v>1117</v>
      </c>
      <c r="D68" s="6">
        <v>16</v>
      </c>
      <c r="E68" t="s">
        <v>34</v>
      </c>
      <c r="F68" t="s">
        <v>7</v>
      </c>
      <c r="G68" t="s">
        <v>138</v>
      </c>
      <c r="H68" s="26">
        <v>1</v>
      </c>
      <c r="I68" s="59">
        <v>8.25</v>
      </c>
      <c r="J68" s="13">
        <f>IF(E68="H",ROUND(I68*2080,0),ROUND(I68*26,0))</f>
        <v>17160</v>
      </c>
      <c r="K68" s="24">
        <f>J68*$K$6</f>
        <v>514.79999999999995</v>
      </c>
      <c r="L68" s="24">
        <f>SUM(J68:K68)</f>
        <v>17674.8</v>
      </c>
      <c r="Q68" s="24">
        <v>50</v>
      </c>
      <c r="S68" s="24">
        <f>SUM(L68:Q68)</f>
        <v>17724.8</v>
      </c>
      <c r="T68" s="22">
        <f>ROUND(S68*0.062,0)</f>
        <v>1099</v>
      </c>
      <c r="U68" s="22">
        <f>ROUND(S68*0.0145,0)</f>
        <v>257</v>
      </c>
      <c r="V68" s="22">
        <f>(ROUND(S68*$V$5,0))</f>
        <v>300</v>
      </c>
      <c r="W68" s="62"/>
      <c r="X68" s="76">
        <f>(4.8*12)</f>
        <v>57.599999999999994</v>
      </c>
      <c r="Y68" s="22">
        <f>((S68*0.044)*0.69)*0.8</f>
        <v>430.49994240000001</v>
      </c>
      <c r="Z68" s="22">
        <f>(9000*0.03)</f>
        <v>270</v>
      </c>
    </row>
    <row r="69" spans="1:26">
      <c r="A69">
        <v>63</v>
      </c>
      <c r="B69" t="s">
        <v>1066</v>
      </c>
      <c r="C69" t="s">
        <v>1067</v>
      </c>
      <c r="D69" s="6">
        <v>16</v>
      </c>
      <c r="E69" t="s">
        <v>34</v>
      </c>
      <c r="F69" t="s">
        <v>7</v>
      </c>
      <c r="G69" t="s">
        <v>138</v>
      </c>
      <c r="H69" s="29">
        <v>1</v>
      </c>
      <c r="I69" s="59">
        <v>8.25</v>
      </c>
      <c r="J69" s="13">
        <f>IF(E69="H",ROUND(I69*2080,0),ROUND(I69*26,0))</f>
        <v>17160</v>
      </c>
      <c r="K69" s="24">
        <f>J69*$K$6</f>
        <v>514.79999999999995</v>
      </c>
      <c r="L69" s="24">
        <f>SUM(J69:K69)</f>
        <v>17674.8</v>
      </c>
      <c r="Q69" s="24">
        <v>50</v>
      </c>
      <c r="S69" s="24">
        <f>SUM(L69:Q69)</f>
        <v>17724.8</v>
      </c>
      <c r="T69" s="22">
        <f>ROUND(S69*0.062,0)</f>
        <v>1099</v>
      </c>
      <c r="U69" s="22">
        <f>ROUND(S69*0.0145,0)</f>
        <v>257</v>
      </c>
      <c r="V69" s="22">
        <f>(ROUND(S69*$V$5,0))</f>
        <v>300</v>
      </c>
      <c r="W69" s="62">
        <f>(563.26*12)*$W$5</f>
        <v>7232.2584000000006</v>
      </c>
      <c r="X69" s="76">
        <f>(4.8*12)</f>
        <v>57.599999999999994</v>
      </c>
      <c r="Y69" s="22">
        <f>((S69*0.044)*0.69)*0.8</f>
        <v>430.49994240000001</v>
      </c>
      <c r="Z69" s="22">
        <f>(9000*0.03)</f>
        <v>270</v>
      </c>
    </row>
    <row r="70" spans="1:26">
      <c r="A70">
        <v>63</v>
      </c>
      <c r="B70" s="1"/>
      <c r="D70" s="6">
        <v>16</v>
      </c>
      <c r="E70" t="s">
        <v>34</v>
      </c>
      <c r="F70" t="s">
        <v>7</v>
      </c>
      <c r="G70" t="s">
        <v>241</v>
      </c>
      <c r="H70" s="27" t="s">
        <v>242</v>
      </c>
      <c r="I70" s="71">
        <v>8.25</v>
      </c>
      <c r="J70" s="22">
        <f>IF(E70="H",ROUND(I70*2080/4,0),ROUND(I70*26,0))</f>
        <v>4290</v>
      </c>
      <c r="K70" s="24">
        <f>J70*$K$6</f>
        <v>128.69999999999999</v>
      </c>
      <c r="L70" s="24">
        <f>SUM(J70:K70)</f>
        <v>4418.7</v>
      </c>
      <c r="Q70" s="24">
        <v>0</v>
      </c>
      <c r="S70" s="24">
        <f>SUM(L70:R70)</f>
        <v>4418.7</v>
      </c>
      <c r="T70" s="22">
        <f>ROUND(S70*0.062,0)</f>
        <v>274</v>
      </c>
      <c r="U70" s="22">
        <f>ROUND(S70*0.0145,0)</f>
        <v>64</v>
      </c>
      <c r="V70" s="22">
        <f>(ROUND(S70*$V$5,0))</f>
        <v>75</v>
      </c>
      <c r="W70" s="62">
        <f>((563.26*12)*0.25)*$W$5</f>
        <v>1808.0646000000002</v>
      </c>
      <c r="X70" s="76">
        <f>(4.8*12)</f>
        <v>57.599999999999994</v>
      </c>
      <c r="Y70" s="22">
        <f>((S70*0.044)*0.69)*0.8</f>
        <v>107.32138559999997</v>
      </c>
      <c r="Z70" s="22">
        <f>(9000*0.03)</f>
        <v>270</v>
      </c>
    </row>
    <row r="71" spans="1:26">
      <c r="F71" s="7" t="s">
        <v>58</v>
      </c>
      <c r="H71" s="26"/>
      <c r="I71" s="59"/>
      <c r="J71" s="8">
        <f t="shared" ref="J71:Z71" si="37">SUM(J67:J70)</f>
        <v>86187</v>
      </c>
      <c r="K71" s="8">
        <f t="shared" si="37"/>
        <v>2585.6099999999997</v>
      </c>
      <c r="L71" s="8">
        <f t="shared" si="37"/>
        <v>88772.61</v>
      </c>
      <c r="M71" s="35">
        <f t="shared" si="37"/>
        <v>0</v>
      </c>
      <c r="N71" s="35">
        <f t="shared" si="37"/>
        <v>0</v>
      </c>
      <c r="O71" s="35">
        <f t="shared" si="37"/>
        <v>0</v>
      </c>
      <c r="P71" s="8">
        <f t="shared" si="37"/>
        <v>0</v>
      </c>
      <c r="Q71" s="35">
        <f t="shared" si="37"/>
        <v>100</v>
      </c>
      <c r="R71" s="35"/>
      <c r="S71" s="8">
        <f t="shared" si="37"/>
        <v>88872.61</v>
      </c>
      <c r="T71" s="8">
        <f t="shared" si="37"/>
        <v>5510</v>
      </c>
      <c r="U71" s="8">
        <f t="shared" si="37"/>
        <v>1289</v>
      </c>
      <c r="V71" s="8">
        <f t="shared" si="37"/>
        <v>1503</v>
      </c>
      <c r="W71" s="79">
        <f t="shared" si="37"/>
        <v>16272.581400000001</v>
      </c>
      <c r="X71" s="8">
        <f t="shared" si="37"/>
        <v>230.39999999999998</v>
      </c>
      <c r="Y71" s="8">
        <f t="shared" si="37"/>
        <v>2158.5379516799994</v>
      </c>
      <c r="Z71" s="8">
        <f t="shared" si="37"/>
        <v>1080</v>
      </c>
    </row>
    <row r="72" spans="1:26">
      <c r="H72" s="26"/>
      <c r="I72" s="59"/>
      <c r="J72" s="2"/>
      <c r="T72" s="13"/>
      <c r="U72" s="13"/>
      <c r="V72" s="13"/>
      <c r="W72" s="61"/>
      <c r="X72" s="13"/>
      <c r="Y72" s="13"/>
      <c r="Z72" s="13"/>
    </row>
    <row r="73" spans="1:26">
      <c r="B73" s="1"/>
      <c r="D73" s="73">
        <v>17</v>
      </c>
      <c r="E73" t="s">
        <v>34</v>
      </c>
      <c r="F73" t="s">
        <v>476</v>
      </c>
      <c r="G73" t="s">
        <v>241</v>
      </c>
      <c r="H73" s="27" t="s">
        <v>242</v>
      </c>
      <c r="I73" s="71">
        <v>8.25</v>
      </c>
      <c r="J73" s="22">
        <f>IF(E73="H",ROUND(I73*2080/4,0),ROUND(I73*26,0))</f>
        <v>4290</v>
      </c>
      <c r="K73" s="24">
        <f>J73*$K$6</f>
        <v>128.69999999999999</v>
      </c>
      <c r="L73" s="24">
        <f>SUM(J73:K73)</f>
        <v>4418.7</v>
      </c>
      <c r="Q73" s="24">
        <v>2000</v>
      </c>
      <c r="S73" s="24">
        <f>SUM(L73:R73)</f>
        <v>6418.7</v>
      </c>
      <c r="T73" s="22">
        <f>ROUND(S73*0.062,0)</f>
        <v>398</v>
      </c>
      <c r="U73" s="22">
        <f>ROUND(S73*0.0145,0)</f>
        <v>93</v>
      </c>
      <c r="V73" s="22">
        <f>(ROUND(S73*$V$5,0))</f>
        <v>108</v>
      </c>
      <c r="W73" s="62">
        <f>((563.26*12)*0.25)*$W$5</f>
        <v>1808.0646000000002</v>
      </c>
      <c r="X73" s="76">
        <f>(4.8*12)</f>
        <v>57.599999999999994</v>
      </c>
      <c r="Y73" s="22">
        <f>((S73*0.044)*0.69)*0.8</f>
        <v>155.89738560000001</v>
      </c>
      <c r="Z73" s="22">
        <f>(9000*0.03)</f>
        <v>270</v>
      </c>
    </row>
    <row r="74" spans="1:26">
      <c r="F74" s="7" t="s">
        <v>59</v>
      </c>
      <c r="I74" s="59"/>
      <c r="J74" s="8">
        <f t="shared" ref="J74:Z74" si="38">SUM(J73:J73)</f>
        <v>4290</v>
      </c>
      <c r="K74" s="8">
        <f t="shared" si="38"/>
        <v>128.69999999999999</v>
      </c>
      <c r="L74" s="8">
        <f t="shared" si="38"/>
        <v>4418.7</v>
      </c>
      <c r="M74" s="35">
        <f t="shared" si="38"/>
        <v>0</v>
      </c>
      <c r="N74" s="35">
        <f t="shared" si="38"/>
        <v>0</v>
      </c>
      <c r="O74" s="35">
        <f t="shared" si="38"/>
        <v>0</v>
      </c>
      <c r="P74" s="8">
        <f t="shared" si="38"/>
        <v>0</v>
      </c>
      <c r="Q74" s="35">
        <f t="shared" si="38"/>
        <v>2000</v>
      </c>
      <c r="R74" s="35"/>
      <c r="S74" s="8">
        <f t="shared" si="38"/>
        <v>6418.7</v>
      </c>
      <c r="T74" s="8">
        <f t="shared" si="38"/>
        <v>398</v>
      </c>
      <c r="U74" s="8">
        <f t="shared" si="38"/>
        <v>93</v>
      </c>
      <c r="V74" s="8">
        <f t="shared" si="38"/>
        <v>108</v>
      </c>
      <c r="W74" s="79">
        <f t="shared" si="38"/>
        <v>1808.0646000000002</v>
      </c>
      <c r="X74" s="8">
        <f t="shared" si="38"/>
        <v>57.599999999999994</v>
      </c>
      <c r="Y74" s="8">
        <f t="shared" si="38"/>
        <v>155.89738560000001</v>
      </c>
      <c r="Z74" s="8">
        <f t="shared" si="38"/>
        <v>270</v>
      </c>
    </row>
    <row r="75" spans="1:26">
      <c r="F75" s="7"/>
      <c r="I75" s="59"/>
      <c r="J75" s="17"/>
      <c r="K75" s="17"/>
      <c r="L75" s="17"/>
      <c r="M75" s="30"/>
      <c r="N75" s="30"/>
      <c r="O75" s="30"/>
      <c r="P75" s="17"/>
      <c r="Q75" s="30"/>
      <c r="R75" s="30"/>
      <c r="S75" s="17"/>
      <c r="T75" s="17"/>
      <c r="U75" s="17"/>
      <c r="V75" s="17"/>
      <c r="W75" s="38"/>
      <c r="X75" s="17"/>
      <c r="Y75" s="17"/>
      <c r="Z75" s="17"/>
    </row>
    <row r="76" spans="1:26">
      <c r="A76">
        <v>48</v>
      </c>
      <c r="B76" t="s">
        <v>1052</v>
      </c>
      <c r="C76" t="s">
        <v>1053</v>
      </c>
      <c r="D76" s="6">
        <v>23</v>
      </c>
      <c r="E76" t="s">
        <v>34</v>
      </c>
      <c r="F76" t="s">
        <v>1060</v>
      </c>
      <c r="G76" t="s">
        <v>1061</v>
      </c>
      <c r="H76" s="26">
        <v>1</v>
      </c>
      <c r="I76" s="71">
        <v>13.86</v>
      </c>
      <c r="J76" s="13">
        <f>IF(E76="H",ROUND(I76*2080,0),ROUND(I76*26,0))</f>
        <v>28829</v>
      </c>
      <c r="K76" s="24">
        <f>J76*$K$6</f>
        <v>864.87</v>
      </c>
      <c r="L76" s="24">
        <f>SUM(J76:K76)</f>
        <v>29693.87</v>
      </c>
      <c r="M76" s="24">
        <v>600</v>
      </c>
      <c r="Q76" s="24">
        <v>100</v>
      </c>
      <c r="S76" s="24">
        <f>SUM(L76:Q76)</f>
        <v>30393.87</v>
      </c>
      <c r="T76" s="22">
        <f>ROUND(S76*0.062,0)</f>
        <v>1884</v>
      </c>
      <c r="U76" s="22">
        <f>ROUND(S76*0.0145,0)</f>
        <v>441</v>
      </c>
      <c r="V76" s="22">
        <f>(ROUND(S76*$V$5,0))</f>
        <v>514</v>
      </c>
      <c r="W76" s="62">
        <f>(563.26*12)*$W$5</f>
        <v>7232.2584000000006</v>
      </c>
      <c r="X76" s="76">
        <f>(4.8*12)</f>
        <v>57.599999999999994</v>
      </c>
      <c r="Y76" s="22">
        <f>(S76*0.038)</f>
        <v>1154.9670599999999</v>
      </c>
      <c r="Z76" s="22">
        <f>(9000*0.03)</f>
        <v>270</v>
      </c>
    </row>
    <row r="77" spans="1:26">
      <c r="A77">
        <v>48</v>
      </c>
      <c r="B77" s="1" t="s">
        <v>1163</v>
      </c>
      <c r="C77" s="1" t="s">
        <v>16</v>
      </c>
      <c r="D77" s="6">
        <v>23</v>
      </c>
      <c r="E77" t="s">
        <v>34</v>
      </c>
      <c r="F77" t="s">
        <v>1060</v>
      </c>
      <c r="G77" s="1" t="s">
        <v>1183</v>
      </c>
      <c r="H77" s="26">
        <v>1</v>
      </c>
      <c r="I77" s="71">
        <v>15</v>
      </c>
      <c r="J77" s="13">
        <f>IF(E77="H",ROUND(I77*520,0),ROUND(I77*26,0))</f>
        <v>7800</v>
      </c>
      <c r="K77" s="24">
        <v>0</v>
      </c>
      <c r="L77" s="24">
        <f>SUM(J77:K77)</f>
        <v>7800</v>
      </c>
      <c r="M77" s="24">
        <v>0</v>
      </c>
      <c r="Q77" s="24">
        <v>100</v>
      </c>
      <c r="S77" s="24">
        <f>SUM(L77:Q77)</f>
        <v>7900</v>
      </c>
      <c r="T77" s="22">
        <f>ROUND(S77*0.062,0)</f>
        <v>490</v>
      </c>
      <c r="U77" s="22">
        <f>ROUND(S77*0.0145,0)</f>
        <v>115</v>
      </c>
      <c r="V77" s="22">
        <f>(ROUND(S77*$V$5,0))</f>
        <v>134</v>
      </c>
      <c r="W77" s="62">
        <v>0</v>
      </c>
      <c r="X77" s="76">
        <f>(4.8*12)</f>
        <v>57.599999999999994</v>
      </c>
      <c r="Y77" s="22">
        <f>(S77*0.038)</f>
        <v>300.2</v>
      </c>
      <c r="Z77" s="22">
        <f>(9000*0.03)</f>
        <v>270</v>
      </c>
    </row>
    <row r="78" spans="1:26">
      <c r="C78" t="s">
        <v>692</v>
      </c>
      <c r="F78" s="7" t="s">
        <v>1051</v>
      </c>
      <c r="I78" s="59"/>
      <c r="J78" s="8">
        <f>SUM(J76:J77)</f>
        <v>36629</v>
      </c>
      <c r="K78" s="8">
        <f t="shared" ref="K78:Z78" si="39">SUM(K76:K77)</f>
        <v>864.87</v>
      </c>
      <c r="L78" s="8">
        <f t="shared" si="39"/>
        <v>37493.869999999995</v>
      </c>
      <c r="M78" s="8">
        <f t="shared" si="39"/>
        <v>600</v>
      </c>
      <c r="N78" s="8">
        <f t="shared" si="39"/>
        <v>0</v>
      </c>
      <c r="O78" s="8">
        <f t="shared" si="39"/>
        <v>0</v>
      </c>
      <c r="P78" s="8">
        <f t="shared" si="39"/>
        <v>0</v>
      </c>
      <c r="Q78" s="8">
        <f t="shared" si="39"/>
        <v>200</v>
      </c>
      <c r="R78" s="8">
        <f t="shared" si="39"/>
        <v>0</v>
      </c>
      <c r="S78" s="8">
        <f t="shared" si="39"/>
        <v>38293.869999999995</v>
      </c>
      <c r="T78" s="8">
        <f t="shared" si="39"/>
        <v>2374</v>
      </c>
      <c r="U78" s="8">
        <f t="shared" si="39"/>
        <v>556</v>
      </c>
      <c r="V78" s="8">
        <f t="shared" si="39"/>
        <v>648</v>
      </c>
      <c r="W78" s="79">
        <f t="shared" si="39"/>
        <v>7232.2584000000006</v>
      </c>
      <c r="X78" s="8">
        <f t="shared" si="39"/>
        <v>115.19999999999999</v>
      </c>
      <c r="Y78" s="8">
        <f t="shared" si="39"/>
        <v>1455.16706</v>
      </c>
      <c r="Z78" s="8">
        <f t="shared" si="39"/>
        <v>540</v>
      </c>
    </row>
    <row r="79" spans="1:26">
      <c r="F79" s="7"/>
      <c r="I79" s="59"/>
      <c r="J79" s="17"/>
      <c r="K79" s="38"/>
      <c r="L79" s="38"/>
      <c r="M79" s="30"/>
      <c r="N79" s="30"/>
      <c r="O79" s="30"/>
      <c r="P79" s="17"/>
      <c r="Q79" s="30"/>
      <c r="R79" s="30"/>
      <c r="S79" s="17"/>
      <c r="T79" s="17"/>
      <c r="U79" s="17"/>
      <c r="V79" s="17"/>
      <c r="W79" s="38"/>
      <c r="X79" s="17"/>
      <c r="Y79" s="17"/>
      <c r="Z79" s="17"/>
    </row>
    <row r="80" spans="1:26">
      <c r="A80">
        <v>48</v>
      </c>
      <c r="B80" t="s">
        <v>29</v>
      </c>
      <c r="C80" t="s">
        <v>677</v>
      </c>
      <c r="D80" s="73">
        <v>24</v>
      </c>
      <c r="E80" t="s">
        <v>34</v>
      </c>
      <c r="F80" t="s">
        <v>8</v>
      </c>
      <c r="G80" t="s">
        <v>1065</v>
      </c>
      <c r="H80" s="26">
        <v>1</v>
      </c>
      <c r="I80" s="75">
        <v>15.59</v>
      </c>
      <c r="J80" s="13">
        <f>IF(E80="H",ROUND(I80*2210,0),ROUND(I80*26,0))</f>
        <v>34454</v>
      </c>
      <c r="K80" s="24">
        <f>J80*$K$6</f>
        <v>1033.6199999999999</v>
      </c>
      <c r="L80" s="24">
        <f>SUM(J80:K80)</f>
        <v>35487.620000000003</v>
      </c>
      <c r="Q80" s="24">
        <f>L80*0.1</f>
        <v>3548.7620000000006</v>
      </c>
      <c r="S80" s="24">
        <f>SUM(L80:R80)</f>
        <v>39036.382000000005</v>
      </c>
      <c r="T80" s="76">
        <f>ROUND(S80*0.062,0)</f>
        <v>2420</v>
      </c>
      <c r="U80" s="76">
        <f>ROUND(S80*0.0145,0)</f>
        <v>566</v>
      </c>
      <c r="V80" s="22">
        <f>(ROUND(S80*$V$5,0))</f>
        <v>660</v>
      </c>
      <c r="W80" s="62">
        <f>(563.26*12)*$W$5</f>
        <v>7232.2584000000006</v>
      </c>
      <c r="X80" s="76">
        <f>(4.8*12)</f>
        <v>57.599999999999994</v>
      </c>
      <c r="Y80" s="22">
        <f>((S80*0.0384)*0.69)*0.8</f>
        <v>827.44638197760003</v>
      </c>
      <c r="Z80" s="76">
        <f>(9000*0.03)</f>
        <v>270</v>
      </c>
    </row>
    <row r="81" spans="1:29">
      <c r="C81" t="s">
        <v>692</v>
      </c>
      <c r="F81" s="7" t="s">
        <v>1050</v>
      </c>
      <c r="I81" s="59"/>
      <c r="J81" s="8">
        <f t="shared" ref="J81:Q81" si="40">SUM(J80:J80)</f>
        <v>34454</v>
      </c>
      <c r="K81" s="8">
        <f t="shared" si="40"/>
        <v>1033.6199999999999</v>
      </c>
      <c r="L81" s="8">
        <f t="shared" si="40"/>
        <v>35487.620000000003</v>
      </c>
      <c r="M81" s="8">
        <f t="shared" si="40"/>
        <v>0</v>
      </c>
      <c r="N81" s="8">
        <f t="shared" si="40"/>
        <v>0</v>
      </c>
      <c r="O81" s="8">
        <f t="shared" si="40"/>
        <v>0</v>
      </c>
      <c r="P81" s="8">
        <f t="shared" si="40"/>
        <v>0</v>
      </c>
      <c r="Q81" s="8">
        <f t="shared" si="40"/>
        <v>3548.7620000000006</v>
      </c>
      <c r="R81" s="8"/>
      <c r="S81" s="8">
        <f t="shared" ref="S81:Z81" si="41">SUM(S80:S80)</f>
        <v>39036.382000000005</v>
      </c>
      <c r="T81" s="8">
        <f t="shared" si="41"/>
        <v>2420</v>
      </c>
      <c r="U81" s="8">
        <f t="shared" si="41"/>
        <v>566</v>
      </c>
      <c r="V81" s="8">
        <f t="shared" si="41"/>
        <v>660</v>
      </c>
      <c r="W81" s="79">
        <f t="shared" si="41"/>
        <v>7232.2584000000006</v>
      </c>
      <c r="X81" s="8">
        <f t="shared" si="41"/>
        <v>57.599999999999994</v>
      </c>
      <c r="Y81" s="8">
        <f t="shared" si="41"/>
        <v>827.44638197760003</v>
      </c>
      <c r="Z81" s="8">
        <f t="shared" si="41"/>
        <v>270</v>
      </c>
    </row>
    <row r="82" spans="1:29">
      <c r="F82" s="7"/>
      <c r="I82" s="59"/>
      <c r="J82" s="17"/>
      <c r="K82" s="38"/>
      <c r="L82" s="38"/>
      <c r="M82" s="30"/>
      <c r="N82" s="30"/>
      <c r="O82" s="30"/>
      <c r="P82" s="17"/>
      <c r="Q82" s="30"/>
      <c r="R82" s="30"/>
      <c r="S82" s="17"/>
      <c r="T82" s="17"/>
      <c r="U82" s="17"/>
      <c r="V82" s="17"/>
      <c r="W82" s="38"/>
      <c r="X82" s="17"/>
      <c r="Y82" s="17"/>
      <c r="Z82" s="17"/>
    </row>
    <row r="83" spans="1:29">
      <c r="F83" s="7"/>
      <c r="I83" s="59"/>
      <c r="J83" s="17"/>
      <c r="K83" s="17"/>
      <c r="L83" s="17"/>
      <c r="M83" s="30"/>
      <c r="N83" s="30"/>
      <c r="O83" s="30"/>
      <c r="P83" s="17"/>
      <c r="Q83" s="30"/>
      <c r="R83" s="30"/>
      <c r="S83" s="17"/>
      <c r="T83" s="17"/>
      <c r="U83" s="17"/>
      <c r="V83" s="17"/>
      <c r="W83" s="38"/>
      <c r="X83" s="17"/>
      <c r="Y83" s="17"/>
      <c r="Z83" s="17"/>
    </row>
    <row r="84" spans="1:29" s="4" customFormat="1">
      <c r="B84" s="1" t="s">
        <v>756</v>
      </c>
      <c r="C84" t="s">
        <v>757</v>
      </c>
      <c r="D84">
        <v>28</v>
      </c>
      <c r="E84" s="1" t="s">
        <v>35</v>
      </c>
      <c r="F84" t="s">
        <v>758</v>
      </c>
      <c r="G84" t="s">
        <v>808</v>
      </c>
      <c r="H84" s="27" t="s">
        <v>25</v>
      </c>
      <c r="I84" s="59">
        <v>0</v>
      </c>
      <c r="J84" s="22">
        <f>IF(E84="H",ROUND(I84*2080/2,0),ROUND(I84*26/2,0))</f>
        <v>0</v>
      </c>
      <c r="K84" s="24">
        <f>J84*$K$6</f>
        <v>0</v>
      </c>
      <c r="L84" s="24">
        <f>SUM(J84:K84)</f>
        <v>0</v>
      </c>
      <c r="M84" s="24">
        <v>0</v>
      </c>
      <c r="N84" s="24"/>
      <c r="O84" s="24"/>
      <c r="P84" s="24"/>
      <c r="Q84" s="24"/>
      <c r="R84" s="24"/>
      <c r="S84" s="24">
        <f>SUM(L84:Q84)</f>
        <v>0</v>
      </c>
      <c r="T84" s="22">
        <f>ROUND(S84*0.062,0)</f>
        <v>0</v>
      </c>
      <c r="U84" s="22">
        <f>ROUND(S84*0.0145,0)</f>
        <v>0</v>
      </c>
      <c r="V84" s="22">
        <f>(ROUND(S84*$V$5,0))</f>
        <v>0</v>
      </c>
      <c r="W84" s="62">
        <v>0</v>
      </c>
      <c r="X84" s="76">
        <v>0</v>
      </c>
      <c r="Y84" s="22">
        <f>((S84*0.044)*0.69)*0.8</f>
        <v>0</v>
      </c>
      <c r="Z84" s="22">
        <v>0</v>
      </c>
      <c r="AB84" s="64"/>
      <c r="AC84" s="64"/>
    </row>
    <row r="85" spans="1:29">
      <c r="F85" s="7" t="s">
        <v>803</v>
      </c>
      <c r="H85" s="26"/>
      <c r="I85" s="59"/>
      <c r="J85" s="8">
        <f t="shared" ref="J85:Z85" si="42">SUM(J84)</f>
        <v>0</v>
      </c>
      <c r="K85" s="8">
        <f t="shared" si="42"/>
        <v>0</v>
      </c>
      <c r="L85" s="8">
        <f t="shared" si="42"/>
        <v>0</v>
      </c>
      <c r="M85" s="8">
        <f t="shared" si="42"/>
        <v>0</v>
      </c>
      <c r="N85" s="8">
        <f t="shared" si="42"/>
        <v>0</v>
      </c>
      <c r="O85" s="8">
        <f t="shared" si="42"/>
        <v>0</v>
      </c>
      <c r="P85" s="8">
        <f t="shared" si="42"/>
        <v>0</v>
      </c>
      <c r="Q85" s="8">
        <f t="shared" si="42"/>
        <v>0</v>
      </c>
      <c r="R85" s="8"/>
      <c r="S85" s="8">
        <f t="shared" si="42"/>
        <v>0</v>
      </c>
      <c r="T85" s="8">
        <f t="shared" si="42"/>
        <v>0</v>
      </c>
      <c r="U85" s="8">
        <f t="shared" si="42"/>
        <v>0</v>
      </c>
      <c r="V85" s="8">
        <f t="shared" si="42"/>
        <v>0</v>
      </c>
      <c r="W85" s="79">
        <f t="shared" si="42"/>
        <v>0</v>
      </c>
      <c r="X85" s="8">
        <f t="shared" si="42"/>
        <v>0</v>
      </c>
      <c r="Y85" s="8">
        <f t="shared" si="42"/>
        <v>0</v>
      </c>
      <c r="Z85" s="8">
        <f t="shared" si="42"/>
        <v>0</v>
      </c>
    </row>
    <row r="86" spans="1:29" ht="13.5" thickBot="1">
      <c r="I86" s="59"/>
      <c r="J86" s="2"/>
      <c r="T86" s="13"/>
      <c r="U86" s="13"/>
      <c r="V86" s="13"/>
      <c r="W86" s="13"/>
      <c r="X86" s="13"/>
      <c r="Y86" s="13"/>
      <c r="Z86" s="13"/>
    </row>
    <row r="87" spans="1:29" ht="13.5" thickBot="1">
      <c r="F87" s="7" t="s">
        <v>61</v>
      </c>
      <c r="I87" s="59"/>
      <c r="J87" s="18">
        <f t="shared" ref="J87:Z87" si="43">SUM(J7:J86)/2</f>
        <v>1216895</v>
      </c>
      <c r="K87" s="18">
        <f t="shared" si="43"/>
        <v>52484.18</v>
      </c>
      <c r="L87" s="18">
        <f t="shared" si="43"/>
        <v>1269379.1800000002</v>
      </c>
      <c r="M87" s="37">
        <f t="shared" si="43"/>
        <v>4800</v>
      </c>
      <c r="N87" s="37">
        <f t="shared" si="43"/>
        <v>2600</v>
      </c>
      <c r="O87" s="37">
        <f t="shared" si="43"/>
        <v>960</v>
      </c>
      <c r="P87" s="18">
        <f t="shared" si="43"/>
        <v>0</v>
      </c>
      <c r="Q87" s="37">
        <f t="shared" si="43"/>
        <v>48098.762000000002</v>
      </c>
      <c r="R87" s="37"/>
      <c r="S87" s="18">
        <f t="shared" si="43"/>
        <v>1347712.942</v>
      </c>
      <c r="T87" s="18">
        <f t="shared" si="43"/>
        <v>78266</v>
      </c>
      <c r="U87" s="18">
        <f t="shared" si="43"/>
        <v>18303</v>
      </c>
      <c r="V87" s="18">
        <f t="shared" si="43"/>
        <v>21334</v>
      </c>
      <c r="W87" s="18">
        <f t="shared" si="43"/>
        <v>227816.13959999997</v>
      </c>
      <c r="X87" s="18">
        <f t="shared" si="43"/>
        <v>2534.4</v>
      </c>
      <c r="Y87" s="18">
        <f t="shared" si="43"/>
        <v>29260.9134098656</v>
      </c>
      <c r="Z87" s="18">
        <f t="shared" si="43"/>
        <v>12150</v>
      </c>
      <c r="AB87" s="65">
        <f>SUM(S87:AA87)</f>
        <v>1737377.3950098655</v>
      </c>
    </row>
    <row r="88" spans="1:29" ht="13.5" thickTop="1">
      <c r="F88" s="7"/>
      <c r="I88" s="59"/>
      <c r="J88" s="17"/>
      <c r="T88" s="13"/>
      <c r="U88" s="13"/>
      <c r="V88" s="13"/>
      <c r="W88" s="13"/>
      <c r="X88" s="13"/>
      <c r="Y88" s="13"/>
      <c r="Z88" s="13"/>
    </row>
    <row r="89" spans="1:29">
      <c r="D89" s="433" t="s">
        <v>48</v>
      </c>
      <c r="E89" s="433"/>
      <c r="F89" s="433"/>
      <c r="G89" s="433"/>
      <c r="H89" s="433"/>
      <c r="I89" s="433"/>
      <c r="J89" s="433"/>
      <c r="K89" s="433"/>
      <c r="L89" s="433"/>
      <c r="M89" s="433"/>
      <c r="N89" s="433"/>
      <c r="O89" s="433"/>
      <c r="P89" s="433"/>
      <c r="Q89" s="433"/>
      <c r="R89" s="433"/>
      <c r="S89" s="433"/>
      <c r="T89" s="433"/>
      <c r="U89" s="433"/>
      <c r="V89" s="433"/>
      <c r="W89" s="433"/>
      <c r="X89" s="433"/>
      <c r="Y89" s="433"/>
      <c r="Z89" s="433"/>
    </row>
    <row r="90" spans="1:29">
      <c r="D90" s="433" t="s">
        <v>734</v>
      </c>
      <c r="E90" s="433"/>
      <c r="F90" s="433"/>
      <c r="G90" s="433"/>
      <c r="H90" s="433"/>
      <c r="I90" s="433"/>
      <c r="J90" s="433"/>
      <c r="K90" s="433"/>
      <c r="L90" s="433"/>
      <c r="M90" s="433"/>
      <c r="N90" s="433"/>
      <c r="O90" s="433"/>
      <c r="P90" s="433"/>
      <c r="Q90" s="433"/>
      <c r="R90" s="433"/>
      <c r="S90" s="433"/>
      <c r="T90" s="433"/>
      <c r="U90" s="433"/>
      <c r="V90" s="433"/>
      <c r="W90" s="433"/>
      <c r="X90" s="433"/>
      <c r="Y90" s="433"/>
      <c r="Z90" s="433"/>
    </row>
    <row r="91" spans="1:29">
      <c r="D91" s="433" t="s">
        <v>1150</v>
      </c>
      <c r="E91" s="433"/>
      <c r="F91" s="433"/>
      <c r="G91" s="433"/>
      <c r="H91" s="433"/>
      <c r="I91" s="433"/>
      <c r="J91" s="433"/>
      <c r="K91" s="433"/>
      <c r="L91" s="433"/>
      <c r="M91" s="433"/>
      <c r="N91" s="433"/>
      <c r="O91" s="433"/>
      <c r="P91" s="433"/>
      <c r="Q91" s="433"/>
      <c r="R91" s="433"/>
      <c r="S91" s="433"/>
      <c r="T91" s="433"/>
      <c r="U91" s="433"/>
      <c r="V91" s="433"/>
      <c r="W91" s="433"/>
      <c r="X91" s="433"/>
      <c r="Y91" s="433"/>
      <c r="Z91" s="433"/>
    </row>
    <row r="92" spans="1:29">
      <c r="I92" s="59"/>
    </row>
    <row r="93" spans="1:29">
      <c r="I93" s="59"/>
      <c r="T93" s="14">
        <v>6.2E-2</v>
      </c>
      <c r="U93" s="14">
        <v>1.4500000000000001E-2</v>
      </c>
      <c r="V93" s="14">
        <f>V5</f>
        <v>1.6899999999999998E-2</v>
      </c>
      <c r="W93" s="14">
        <v>6.25E-2</v>
      </c>
      <c r="X93" s="14"/>
      <c r="Y93" s="4" t="s">
        <v>49</v>
      </c>
      <c r="Z93" s="14">
        <v>2.3E-2</v>
      </c>
    </row>
    <row r="94" spans="1:29" s="4" customFormat="1" ht="33.75">
      <c r="A94" s="5" t="s">
        <v>40</v>
      </c>
      <c r="B94" s="10" t="s">
        <v>41</v>
      </c>
      <c r="C94" s="10" t="s">
        <v>42</v>
      </c>
      <c r="D94" s="10" t="s">
        <v>43</v>
      </c>
      <c r="E94" s="15" t="s">
        <v>50</v>
      </c>
      <c r="F94" s="10" t="s">
        <v>44</v>
      </c>
      <c r="G94" s="10" t="s">
        <v>45</v>
      </c>
      <c r="H94" s="10" t="s">
        <v>51</v>
      </c>
      <c r="I94" s="16"/>
      <c r="J94" s="11" t="str">
        <f>J6</f>
        <v>FYE 2015-16     BASE PAY</v>
      </c>
      <c r="K94" s="33">
        <f>K6</f>
        <v>0.03</v>
      </c>
      <c r="L94" s="11" t="s">
        <v>658</v>
      </c>
      <c r="M94" s="34" t="str">
        <f>M6</f>
        <v>PHONE</v>
      </c>
      <c r="N94" s="34" t="str">
        <f>N6</f>
        <v>TRAVEL</v>
      </c>
      <c r="O94" s="34" t="s">
        <v>657</v>
      </c>
      <c r="P94" s="11" t="s">
        <v>416</v>
      </c>
      <c r="Q94" s="34" t="s">
        <v>280</v>
      </c>
      <c r="R94" s="34"/>
      <c r="S94" s="11"/>
      <c r="T94" s="11" t="s">
        <v>37</v>
      </c>
      <c r="U94" s="11" t="s">
        <v>47</v>
      </c>
      <c r="V94" s="11" t="s">
        <v>393</v>
      </c>
      <c r="W94" s="11" t="s">
        <v>38</v>
      </c>
      <c r="X94" s="11" t="s">
        <v>253</v>
      </c>
      <c r="Y94" s="11" t="s">
        <v>39</v>
      </c>
      <c r="Z94" s="11" t="s">
        <v>46</v>
      </c>
      <c r="AB94" s="64"/>
      <c r="AC94" s="64"/>
    </row>
    <row r="95" spans="1:29">
      <c r="I95" s="59"/>
      <c r="J95" s="2"/>
      <c r="T95" s="13"/>
      <c r="U95" s="13"/>
      <c r="V95" s="13"/>
      <c r="W95" s="13"/>
      <c r="X95" s="13"/>
      <c r="Y95" s="13"/>
      <c r="Z95" s="13"/>
    </row>
    <row r="96" spans="1:29">
      <c r="H96" s="26"/>
      <c r="I96" s="59"/>
      <c r="J96" s="2"/>
      <c r="T96" s="13"/>
      <c r="U96" s="13"/>
      <c r="V96" s="13"/>
      <c r="W96" s="13"/>
      <c r="X96" s="13"/>
      <c r="Y96" s="13"/>
      <c r="Z96" s="13"/>
    </row>
    <row r="97" spans="1:26">
      <c r="B97" t="s">
        <v>26</v>
      </c>
      <c r="C97" t="s">
        <v>686</v>
      </c>
      <c r="D97">
        <v>1900</v>
      </c>
      <c r="E97" t="s">
        <v>35</v>
      </c>
      <c r="F97" t="s">
        <v>10</v>
      </c>
      <c r="G97" t="s">
        <v>12</v>
      </c>
      <c r="H97" s="26">
        <v>1</v>
      </c>
      <c r="I97" s="59">
        <v>2510.1999999999998</v>
      </c>
      <c r="J97" s="22">
        <f>IF(E97="H",ROUND(I97*2080,0),ROUND(I97*26,0))</f>
        <v>65265</v>
      </c>
      <c r="K97" s="24">
        <f t="shared" ref="K97:K109" si="44">J97*$K$6</f>
        <v>1957.9499999999998</v>
      </c>
      <c r="L97" s="24">
        <f t="shared" ref="L97:L107" si="45">SUM(J97:K97)</f>
        <v>67222.95</v>
      </c>
      <c r="M97" s="24">
        <f>50*12</f>
        <v>600</v>
      </c>
      <c r="O97" s="24">
        <f>50*12</f>
        <v>600</v>
      </c>
      <c r="S97" s="24">
        <f t="shared" ref="S97:S107" si="46">SUM(L97:Q97)</f>
        <v>68422.95</v>
      </c>
      <c r="T97" s="22">
        <f t="shared" ref="T97:T107" si="47">ROUND(S97*0.062,0)</f>
        <v>4242</v>
      </c>
      <c r="U97" s="22">
        <f t="shared" ref="U97:U107" si="48">ROUND(S97*0.0145,0)</f>
        <v>992</v>
      </c>
      <c r="V97" s="22">
        <f t="shared" ref="V97:V109" si="49">(ROUND(S97*$V$5,0))</f>
        <v>1156</v>
      </c>
      <c r="W97" s="22">
        <f>(563.26*12)*$W$5</f>
        <v>7232.2584000000006</v>
      </c>
      <c r="X97" s="76">
        <f t="shared" ref="X97:X107" si="50">(4.8*12)</f>
        <v>57.599999999999994</v>
      </c>
      <c r="Y97" s="22">
        <f>(S97*0.0101)</f>
        <v>691.07179499999995</v>
      </c>
      <c r="Z97" s="22">
        <f t="shared" ref="Z97:Z108" si="51">(9000*0.03)</f>
        <v>270</v>
      </c>
    </row>
    <row r="98" spans="1:26">
      <c r="A98">
        <v>70</v>
      </c>
      <c r="B98" s="1" t="s">
        <v>1184</v>
      </c>
      <c r="D98">
        <v>1900</v>
      </c>
      <c r="E98" t="s">
        <v>34</v>
      </c>
      <c r="F98" t="s">
        <v>10</v>
      </c>
      <c r="G98" s="1" t="s">
        <v>1185</v>
      </c>
      <c r="H98" s="26">
        <v>1</v>
      </c>
      <c r="I98" s="59">
        <v>18</v>
      </c>
      <c r="J98" s="13">
        <f>IF(E98="H",ROUND(I98*2080,0),ROUND(I98*25,0))</f>
        <v>37440</v>
      </c>
      <c r="K98" s="24">
        <v>0</v>
      </c>
      <c r="L98" s="24">
        <f>SUM(J98:K98)</f>
        <v>37440</v>
      </c>
      <c r="M98" s="24">
        <f>50*12</f>
        <v>600</v>
      </c>
      <c r="Q98" s="24">
        <v>1000</v>
      </c>
      <c r="S98" s="24">
        <f>SUM(L98:Q98)</f>
        <v>39040</v>
      </c>
      <c r="T98" s="22">
        <f>ROUND(S98*0.062,0)</f>
        <v>2420</v>
      </c>
      <c r="U98" s="22">
        <f>ROUND(S98*0.0145,0)</f>
        <v>566</v>
      </c>
      <c r="V98" s="22">
        <f>(ROUND(S98*$V$5,0))</f>
        <v>660</v>
      </c>
      <c r="W98" s="22">
        <f>(563.26*12)*$W$5</f>
        <v>7232.2584000000006</v>
      </c>
      <c r="X98" s="76">
        <f>(4.8*12)</f>
        <v>57.599999999999994</v>
      </c>
      <c r="Y98" s="22">
        <f>S98*0.0356</f>
        <v>1389.8240000000001</v>
      </c>
      <c r="Z98" s="22">
        <f>(9000*0.03)</f>
        <v>270</v>
      </c>
    </row>
    <row r="99" spans="1:26">
      <c r="B99" t="s">
        <v>1068</v>
      </c>
      <c r="C99" t="s">
        <v>1069</v>
      </c>
      <c r="D99">
        <v>1900</v>
      </c>
      <c r="E99" t="s">
        <v>34</v>
      </c>
      <c r="F99" t="s">
        <v>10</v>
      </c>
      <c r="G99" t="s">
        <v>1092</v>
      </c>
      <c r="H99" s="26">
        <v>1</v>
      </c>
      <c r="I99" s="59">
        <v>12.88</v>
      </c>
      <c r="J99" s="13">
        <f>IF(E99="H",ROUND(I99*2080,0),ROUND(I99*26,0))</f>
        <v>26790</v>
      </c>
      <c r="K99" s="24">
        <f t="shared" si="44"/>
        <v>803.69999999999993</v>
      </c>
      <c r="L99" s="24">
        <f>SUM(J99:K99)</f>
        <v>27593.7</v>
      </c>
      <c r="M99" s="24">
        <v>600</v>
      </c>
      <c r="Q99" s="24">
        <v>1000</v>
      </c>
      <c r="S99" s="24">
        <f>SUM(L99:Q99)</f>
        <v>29193.7</v>
      </c>
      <c r="T99" s="22">
        <f t="shared" si="47"/>
        <v>1810</v>
      </c>
      <c r="U99" s="22">
        <f>ROUND(S99*0.0145,0)</f>
        <v>423</v>
      </c>
      <c r="V99" s="22">
        <f t="shared" si="49"/>
        <v>493</v>
      </c>
      <c r="W99" s="22">
        <f>(563.26*12)*$W$5</f>
        <v>7232.2584000000006</v>
      </c>
      <c r="X99" s="76">
        <f t="shared" si="50"/>
        <v>57.599999999999994</v>
      </c>
      <c r="Y99" s="22">
        <f>(S99*0.0101)</f>
        <v>294.85636999999997</v>
      </c>
      <c r="Z99" s="22">
        <f t="shared" si="51"/>
        <v>270</v>
      </c>
    </row>
    <row r="100" spans="1:26">
      <c r="B100" t="s">
        <v>936</v>
      </c>
      <c r="C100" t="s">
        <v>927</v>
      </c>
      <c r="D100">
        <v>2000</v>
      </c>
      <c r="E100" t="s">
        <v>34</v>
      </c>
      <c r="F100" t="s">
        <v>434</v>
      </c>
      <c r="G100" t="s">
        <v>690</v>
      </c>
      <c r="H100" s="26">
        <v>1</v>
      </c>
      <c r="I100" s="59">
        <v>13</v>
      </c>
      <c r="J100" s="13">
        <f>IF(E100="H",ROUND(I100*2080,0),ROUND(I100*26,0))</f>
        <v>27040</v>
      </c>
      <c r="K100" s="24">
        <f t="shared" si="44"/>
        <v>811.19999999999993</v>
      </c>
      <c r="L100" s="24">
        <f t="shared" si="45"/>
        <v>27851.200000000001</v>
      </c>
      <c r="S100" s="24">
        <f t="shared" si="46"/>
        <v>27851.200000000001</v>
      </c>
      <c r="T100" s="22">
        <f t="shared" si="47"/>
        <v>1727</v>
      </c>
      <c r="U100" s="22">
        <f t="shared" si="48"/>
        <v>404</v>
      </c>
      <c r="V100" s="22">
        <f t="shared" si="49"/>
        <v>471</v>
      </c>
      <c r="W100" s="22">
        <f>(563.26*12)*$W$5</f>
        <v>7232.2584000000006</v>
      </c>
      <c r="X100" s="76">
        <f t="shared" si="50"/>
        <v>57.599999999999994</v>
      </c>
      <c r="Y100" s="22">
        <f>((S100*0.044)*0.69)*0.8</f>
        <v>676.44994559999998</v>
      </c>
      <c r="Z100" s="22">
        <f t="shared" si="51"/>
        <v>270</v>
      </c>
    </row>
    <row r="101" spans="1:26">
      <c r="B101" t="s">
        <v>660</v>
      </c>
      <c r="C101" t="s">
        <v>661</v>
      </c>
      <c r="D101">
        <v>100</v>
      </c>
      <c r="E101" t="s">
        <v>35</v>
      </c>
      <c r="F101" t="s">
        <v>434</v>
      </c>
      <c r="G101" t="s">
        <v>3</v>
      </c>
      <c r="H101" s="78" t="s">
        <v>1142</v>
      </c>
      <c r="I101" s="59">
        <v>3545.27</v>
      </c>
      <c r="J101" s="22">
        <f t="shared" ref="J101:J106" si="52">IF(E101="H",ROUND(I101*2080*0.75,0),ROUND(I101*26*0.75,0))</f>
        <v>69133</v>
      </c>
      <c r="K101" s="24">
        <f t="shared" si="44"/>
        <v>2073.9899999999998</v>
      </c>
      <c r="L101" s="24">
        <f t="shared" si="45"/>
        <v>71206.990000000005</v>
      </c>
      <c r="N101" s="24">
        <v>2600</v>
      </c>
      <c r="P101" s="24"/>
      <c r="S101" s="24">
        <f t="shared" si="46"/>
        <v>73806.990000000005</v>
      </c>
      <c r="T101" s="22">
        <f t="shared" si="47"/>
        <v>4576</v>
      </c>
      <c r="U101" s="22">
        <f t="shared" si="48"/>
        <v>1070</v>
      </c>
      <c r="V101" s="22">
        <f t="shared" si="49"/>
        <v>1247</v>
      </c>
      <c r="W101" s="22">
        <f>((563.26*12)*0.75)*$W$5</f>
        <v>5424.1938000000009</v>
      </c>
      <c r="X101" s="76">
        <f t="shared" si="50"/>
        <v>57.599999999999994</v>
      </c>
      <c r="Y101" s="22">
        <f t="shared" ref="Y101:Y107" si="53">(S101*0.0044)</f>
        <v>324.75075600000002</v>
      </c>
      <c r="Z101" s="22">
        <f t="shared" si="51"/>
        <v>270</v>
      </c>
    </row>
    <row r="102" spans="1:26">
      <c r="B102" t="s">
        <v>662</v>
      </c>
      <c r="C102" t="s">
        <v>14</v>
      </c>
      <c r="D102">
        <v>100</v>
      </c>
      <c r="E102" t="s">
        <v>35</v>
      </c>
      <c r="F102" t="s">
        <v>434</v>
      </c>
      <c r="G102" t="s">
        <v>4</v>
      </c>
      <c r="H102" s="78" t="s">
        <v>1142</v>
      </c>
      <c r="I102" s="59">
        <v>2901.77</v>
      </c>
      <c r="J102" s="22">
        <f t="shared" si="52"/>
        <v>56585</v>
      </c>
      <c r="K102" s="24">
        <f t="shared" si="44"/>
        <v>1697.55</v>
      </c>
      <c r="L102" s="24">
        <f t="shared" si="45"/>
        <v>58282.55</v>
      </c>
      <c r="P102" s="24"/>
      <c r="S102" s="24">
        <f t="shared" si="46"/>
        <v>58282.55</v>
      </c>
      <c r="T102" s="22">
        <f t="shared" si="47"/>
        <v>3614</v>
      </c>
      <c r="U102" s="22">
        <f t="shared" si="48"/>
        <v>845</v>
      </c>
      <c r="V102" s="22">
        <f t="shared" si="49"/>
        <v>985</v>
      </c>
      <c r="W102" s="22">
        <f t="shared" ref="W102:W107" si="54">((563.26*12)*0.75)*$W$5</f>
        <v>5424.1938000000009</v>
      </c>
      <c r="X102" s="76">
        <f t="shared" si="50"/>
        <v>57.599999999999994</v>
      </c>
      <c r="Y102" s="22">
        <f t="shared" si="53"/>
        <v>256.44322000000005</v>
      </c>
      <c r="Z102" s="22">
        <f t="shared" si="51"/>
        <v>270</v>
      </c>
    </row>
    <row r="103" spans="1:26">
      <c r="B103" t="s">
        <v>687</v>
      </c>
      <c r="C103" t="s">
        <v>664</v>
      </c>
      <c r="D103">
        <v>100</v>
      </c>
      <c r="E103" t="s">
        <v>35</v>
      </c>
      <c r="F103" t="s">
        <v>434</v>
      </c>
      <c r="G103" t="s">
        <v>11</v>
      </c>
      <c r="H103" s="78" t="s">
        <v>1142</v>
      </c>
      <c r="I103" s="59">
        <v>2101.5</v>
      </c>
      <c r="J103" s="22">
        <f t="shared" si="52"/>
        <v>40979</v>
      </c>
      <c r="K103" s="24">
        <f t="shared" si="44"/>
        <v>1229.3699999999999</v>
      </c>
      <c r="L103" s="24">
        <f t="shared" si="45"/>
        <v>42208.37</v>
      </c>
      <c r="P103" s="24"/>
      <c r="S103" s="24">
        <f t="shared" si="46"/>
        <v>42208.37</v>
      </c>
      <c r="T103" s="22">
        <f t="shared" si="47"/>
        <v>2617</v>
      </c>
      <c r="U103" s="22">
        <f t="shared" si="48"/>
        <v>612</v>
      </c>
      <c r="V103" s="22">
        <f t="shared" si="49"/>
        <v>713</v>
      </c>
      <c r="W103" s="22">
        <f t="shared" si="54"/>
        <v>5424.1938000000009</v>
      </c>
      <c r="X103" s="76">
        <f t="shared" si="50"/>
        <v>57.599999999999994</v>
      </c>
      <c r="Y103" s="22">
        <f t="shared" si="53"/>
        <v>185.71682800000002</v>
      </c>
      <c r="Z103" s="22">
        <f t="shared" si="51"/>
        <v>270</v>
      </c>
    </row>
    <row r="104" spans="1:26">
      <c r="B104" t="s">
        <v>691</v>
      </c>
      <c r="C104" t="s">
        <v>13</v>
      </c>
      <c r="D104">
        <v>100</v>
      </c>
      <c r="E104" t="s">
        <v>34</v>
      </c>
      <c r="F104" t="s">
        <v>434</v>
      </c>
      <c r="G104" t="s">
        <v>20</v>
      </c>
      <c r="H104" s="78" t="s">
        <v>1142</v>
      </c>
      <c r="I104" s="59">
        <v>14.94</v>
      </c>
      <c r="J104" s="22">
        <f t="shared" si="52"/>
        <v>23306</v>
      </c>
      <c r="K104" s="24">
        <f>1685*0.75</f>
        <v>1263.75</v>
      </c>
      <c r="L104" s="24">
        <f t="shared" si="45"/>
        <v>24569.75</v>
      </c>
      <c r="P104" s="24"/>
      <c r="S104" s="24">
        <f t="shared" si="46"/>
        <v>24569.75</v>
      </c>
      <c r="T104" s="22">
        <f t="shared" si="47"/>
        <v>1523</v>
      </c>
      <c r="U104" s="22">
        <f t="shared" si="48"/>
        <v>356</v>
      </c>
      <c r="V104" s="22">
        <f t="shared" si="49"/>
        <v>415</v>
      </c>
      <c r="W104" s="22">
        <f t="shared" si="54"/>
        <v>5424.1938000000009</v>
      </c>
      <c r="X104" s="76">
        <f t="shared" si="50"/>
        <v>57.599999999999994</v>
      </c>
      <c r="Y104" s="22">
        <f t="shared" si="53"/>
        <v>108.10690000000001</v>
      </c>
      <c r="Z104" s="22">
        <f t="shared" si="51"/>
        <v>270</v>
      </c>
    </row>
    <row r="105" spans="1:26">
      <c r="B105" s="1"/>
      <c r="C105" s="1"/>
      <c r="D105">
        <v>100</v>
      </c>
      <c r="E105" t="s">
        <v>34</v>
      </c>
      <c r="F105" t="s">
        <v>434</v>
      </c>
      <c r="G105" t="s">
        <v>20</v>
      </c>
      <c r="H105" s="78" t="s">
        <v>1142</v>
      </c>
      <c r="I105" s="59">
        <v>12</v>
      </c>
      <c r="J105" s="22">
        <f t="shared" si="52"/>
        <v>18720</v>
      </c>
      <c r="K105" s="24">
        <f t="shared" si="44"/>
        <v>561.6</v>
      </c>
      <c r="L105" s="24">
        <f>SUM(J105:K105)</f>
        <v>19281.599999999999</v>
      </c>
      <c r="P105" s="24"/>
      <c r="S105" s="24">
        <f>SUM(L105:Q105)</f>
        <v>19281.599999999999</v>
      </c>
      <c r="T105" s="22">
        <f>ROUND(S105*0.062,0)</f>
        <v>1195</v>
      </c>
      <c r="U105" s="22">
        <f>ROUND(S105*0.0145,0)</f>
        <v>280</v>
      </c>
      <c r="V105" s="22">
        <f t="shared" si="49"/>
        <v>326</v>
      </c>
      <c r="W105" s="22">
        <f t="shared" si="54"/>
        <v>5424.1938000000009</v>
      </c>
      <c r="X105" s="76">
        <f t="shared" si="50"/>
        <v>57.599999999999994</v>
      </c>
      <c r="Y105" s="22">
        <f t="shared" si="53"/>
        <v>84.839039999999997</v>
      </c>
      <c r="Z105" s="22">
        <f t="shared" si="51"/>
        <v>270</v>
      </c>
    </row>
    <row r="106" spans="1:26">
      <c r="B106" t="s">
        <v>967</v>
      </c>
      <c r="C106" t="s">
        <v>757</v>
      </c>
      <c r="D106">
        <v>100</v>
      </c>
      <c r="E106" t="s">
        <v>34</v>
      </c>
      <c r="F106" t="s">
        <v>434</v>
      </c>
      <c r="G106" t="s">
        <v>246</v>
      </c>
      <c r="H106" s="78" t="s">
        <v>1142</v>
      </c>
      <c r="I106" s="59">
        <v>12</v>
      </c>
      <c r="J106" s="22">
        <f t="shared" si="52"/>
        <v>18720</v>
      </c>
      <c r="K106" s="24">
        <f t="shared" si="44"/>
        <v>561.6</v>
      </c>
      <c r="L106" s="24">
        <f t="shared" si="45"/>
        <v>19281.599999999999</v>
      </c>
      <c r="P106" s="24"/>
      <c r="S106" s="24">
        <f t="shared" si="46"/>
        <v>19281.599999999999</v>
      </c>
      <c r="T106" s="22">
        <f t="shared" si="47"/>
        <v>1195</v>
      </c>
      <c r="U106" s="22">
        <f t="shared" si="48"/>
        <v>280</v>
      </c>
      <c r="V106" s="22">
        <f t="shared" si="49"/>
        <v>326</v>
      </c>
      <c r="W106" s="22">
        <f t="shared" si="54"/>
        <v>5424.1938000000009</v>
      </c>
      <c r="X106" s="76">
        <f t="shared" si="50"/>
        <v>57.599999999999994</v>
      </c>
      <c r="Y106" s="22">
        <f t="shared" si="53"/>
        <v>84.839039999999997</v>
      </c>
      <c r="Z106" s="22">
        <f t="shared" si="51"/>
        <v>270</v>
      </c>
    </row>
    <row r="107" spans="1:26">
      <c r="B107" s="1" t="s">
        <v>1164</v>
      </c>
      <c r="C107" s="1" t="s">
        <v>675</v>
      </c>
      <c r="D107">
        <v>100</v>
      </c>
      <c r="E107" t="s">
        <v>34</v>
      </c>
      <c r="F107" t="s">
        <v>434</v>
      </c>
      <c r="G107" t="s">
        <v>937</v>
      </c>
      <c r="H107" s="28">
        <v>1</v>
      </c>
      <c r="I107" s="59">
        <v>10</v>
      </c>
      <c r="J107" s="13">
        <f>IF(E107="H",ROUND(I107*2080,0),ROUND(I107*26,0))</f>
        <v>20800</v>
      </c>
      <c r="K107" s="24">
        <f t="shared" si="44"/>
        <v>624</v>
      </c>
      <c r="L107" s="24">
        <f t="shared" si="45"/>
        <v>21424</v>
      </c>
      <c r="S107" s="24">
        <f t="shared" si="46"/>
        <v>21424</v>
      </c>
      <c r="T107" s="22">
        <f t="shared" si="47"/>
        <v>1328</v>
      </c>
      <c r="U107" s="22">
        <f t="shared" si="48"/>
        <v>311</v>
      </c>
      <c r="V107" s="22">
        <f t="shared" si="49"/>
        <v>362</v>
      </c>
      <c r="W107" s="22">
        <f t="shared" si="54"/>
        <v>5424.1938000000009</v>
      </c>
      <c r="X107" s="76">
        <f t="shared" si="50"/>
        <v>57.599999999999994</v>
      </c>
      <c r="Y107" s="22">
        <f t="shared" si="53"/>
        <v>94.265600000000006</v>
      </c>
      <c r="Z107" s="22">
        <f t="shared" si="51"/>
        <v>270</v>
      </c>
    </row>
    <row r="108" spans="1:26">
      <c r="D108">
        <v>100</v>
      </c>
      <c r="E108" t="s">
        <v>34</v>
      </c>
      <c r="F108" t="s">
        <v>434</v>
      </c>
      <c r="G108" t="s">
        <v>1119</v>
      </c>
      <c r="H108" s="27" t="s">
        <v>25</v>
      </c>
      <c r="I108" s="59">
        <v>8.5</v>
      </c>
      <c r="J108" s="13">
        <f>IF(E108="H",ROUND(I108*1560,0),ROUND(I108*26,0))</f>
        <v>13260</v>
      </c>
      <c r="K108" s="24">
        <f t="shared" si="44"/>
        <v>397.8</v>
      </c>
      <c r="L108" s="24">
        <f>SUM(J108:K108)</f>
        <v>13657.8</v>
      </c>
      <c r="S108" s="24">
        <f>SUM(L108:Q108)</f>
        <v>13657.8</v>
      </c>
      <c r="T108" s="22">
        <f>ROUND(S108*0.062,0)</f>
        <v>847</v>
      </c>
      <c r="U108" s="22">
        <f>ROUND(S108*0.0145,0)</f>
        <v>198</v>
      </c>
      <c r="V108" s="22">
        <f t="shared" si="49"/>
        <v>231</v>
      </c>
      <c r="W108" s="22">
        <v>0</v>
      </c>
      <c r="X108" s="76">
        <v>0</v>
      </c>
      <c r="Y108" s="22">
        <f>(S108*0.0044)</f>
        <v>60.094320000000003</v>
      </c>
      <c r="Z108" s="22">
        <f t="shared" si="51"/>
        <v>270</v>
      </c>
    </row>
    <row r="109" spans="1:26">
      <c r="B109" t="s">
        <v>1118</v>
      </c>
      <c r="C109" t="s">
        <v>669</v>
      </c>
      <c r="D109">
        <v>100</v>
      </c>
      <c r="E109" t="s">
        <v>34</v>
      </c>
      <c r="F109" t="s">
        <v>434</v>
      </c>
      <c r="G109" t="s">
        <v>1088</v>
      </c>
      <c r="H109" s="28">
        <v>1</v>
      </c>
      <c r="I109" s="59">
        <v>11.5</v>
      </c>
      <c r="J109" s="13">
        <f>IF(E109="H",ROUND(I109*2080,0),ROUND(I109*26,0))</f>
        <v>23920</v>
      </c>
      <c r="K109" s="24">
        <f t="shared" si="44"/>
        <v>717.6</v>
      </c>
      <c r="L109" s="24">
        <f>SUM(J109:K109)</f>
        <v>24637.599999999999</v>
      </c>
      <c r="Q109" s="24">
        <v>0</v>
      </c>
      <c r="S109" s="24">
        <f>SUM(L109:Q109)</f>
        <v>24637.599999999999</v>
      </c>
      <c r="T109" s="22">
        <f>ROUND(S109*0.062,0)</f>
        <v>1528</v>
      </c>
      <c r="U109" s="22">
        <f>ROUND(S109*0.0145,0)</f>
        <v>357</v>
      </c>
      <c r="V109" s="22">
        <f t="shared" si="49"/>
        <v>416</v>
      </c>
      <c r="W109" s="22">
        <f>(563.26*12)*$W$5</f>
        <v>7232.2584000000006</v>
      </c>
      <c r="X109" s="76">
        <f>(4.8*12)</f>
        <v>57.599999999999994</v>
      </c>
      <c r="Y109" s="22">
        <f>((S109*0.044)*0.69)*0.8</f>
        <v>598.39802879999979</v>
      </c>
      <c r="Z109" s="22">
        <f>(9000*0.03)</f>
        <v>270</v>
      </c>
    </row>
    <row r="110" spans="1:26">
      <c r="F110" s="7" t="s">
        <v>54</v>
      </c>
      <c r="H110" s="6"/>
      <c r="I110" s="59"/>
      <c r="J110" s="8">
        <f t="shared" ref="J110:Q110" si="55">SUM(J97:J109)</f>
        <v>441958</v>
      </c>
      <c r="K110" s="8">
        <f t="shared" si="55"/>
        <v>12700.109999999999</v>
      </c>
      <c r="L110" s="8">
        <f t="shared" si="55"/>
        <v>454658.10999999993</v>
      </c>
      <c r="M110" s="35">
        <f t="shared" si="55"/>
        <v>1800</v>
      </c>
      <c r="N110" s="35">
        <f t="shared" si="55"/>
        <v>2600</v>
      </c>
      <c r="O110" s="35">
        <f t="shared" si="55"/>
        <v>600</v>
      </c>
      <c r="P110" s="8">
        <f t="shared" si="55"/>
        <v>0</v>
      </c>
      <c r="Q110" s="35">
        <f t="shared" si="55"/>
        <v>2000</v>
      </c>
      <c r="R110" s="35"/>
      <c r="S110" s="8">
        <f t="shared" ref="S110:Z110" si="56">SUM(S97:S109)</f>
        <v>461658.10999999993</v>
      </c>
      <c r="T110" s="8">
        <f t="shared" si="56"/>
        <v>28622</v>
      </c>
      <c r="U110" s="8">
        <f t="shared" si="56"/>
        <v>6694</v>
      </c>
      <c r="V110" s="8">
        <f t="shared" si="56"/>
        <v>7801</v>
      </c>
      <c r="W110" s="8">
        <f t="shared" si="56"/>
        <v>74130.648600000015</v>
      </c>
      <c r="X110" s="8">
        <f t="shared" si="56"/>
        <v>691.20000000000016</v>
      </c>
      <c r="Y110" s="8">
        <f t="shared" si="56"/>
        <v>4849.6558433999999</v>
      </c>
      <c r="Z110" s="8">
        <f t="shared" si="56"/>
        <v>3510</v>
      </c>
    </row>
    <row r="111" spans="1:26">
      <c r="H111" s="6"/>
      <c r="I111" s="59"/>
      <c r="J111" s="2"/>
      <c r="T111" s="13"/>
      <c r="U111" s="13"/>
      <c r="V111" s="13"/>
      <c r="W111" s="13"/>
      <c r="X111" s="13"/>
      <c r="Y111" s="13"/>
      <c r="Z111" s="13"/>
    </row>
    <row r="112" spans="1:26">
      <c r="A112">
        <v>64</v>
      </c>
      <c r="B112" t="s">
        <v>28</v>
      </c>
      <c r="C112" t="s">
        <v>17</v>
      </c>
      <c r="D112">
        <v>2000</v>
      </c>
      <c r="E112" t="s">
        <v>34</v>
      </c>
      <c r="F112" t="s">
        <v>10</v>
      </c>
      <c r="G112" s="1" t="s">
        <v>36</v>
      </c>
      <c r="H112" s="26">
        <v>1</v>
      </c>
      <c r="I112" s="59">
        <v>12.43</v>
      </c>
      <c r="J112" s="13">
        <f>IF(E112="H",ROUND(I112*2080,0),ROUND(I112*26,0))</f>
        <v>25854</v>
      </c>
      <c r="K112" s="24">
        <f>J112*$K$6</f>
        <v>775.62</v>
      </c>
      <c r="L112" s="24">
        <f>SUM(J112:K112)</f>
        <v>26629.62</v>
      </c>
      <c r="M112" s="24">
        <f>50*12</f>
        <v>600</v>
      </c>
      <c r="Q112" s="24">
        <v>4000</v>
      </c>
      <c r="S112" s="24">
        <f>SUM(L112:Q112)</f>
        <v>31229.62</v>
      </c>
      <c r="T112" s="22">
        <f>ROUND(S112*0.062,0)</f>
        <v>1936</v>
      </c>
      <c r="U112" s="22">
        <f>ROUND(S112*0.0145,0)</f>
        <v>453</v>
      </c>
      <c r="V112" s="22">
        <f>(ROUND(S112*$V$5,0))</f>
        <v>528</v>
      </c>
      <c r="W112" s="22">
        <f>(563.26*12)*$W$5</f>
        <v>7232.2584000000006</v>
      </c>
      <c r="X112" s="76">
        <f>(4.8*12)</f>
        <v>57.599999999999994</v>
      </c>
      <c r="Y112" s="22">
        <f>S112*0.0356</f>
        <v>1111.7744720000001</v>
      </c>
      <c r="Z112" s="22">
        <f>(9000*0.03)</f>
        <v>270</v>
      </c>
    </row>
    <row r="113" spans="1:29">
      <c r="B113" t="s">
        <v>30</v>
      </c>
      <c r="C113" t="s">
        <v>18</v>
      </c>
      <c r="D113">
        <v>2000</v>
      </c>
      <c r="E113" t="s">
        <v>34</v>
      </c>
      <c r="F113" t="s">
        <v>10</v>
      </c>
      <c r="G113" t="s">
        <v>36</v>
      </c>
      <c r="H113" s="26">
        <v>1</v>
      </c>
      <c r="I113" s="59">
        <v>11.76</v>
      </c>
      <c r="J113" s="13">
        <f>IF(E113="H",ROUND(I113*2080,0),ROUND(I113*26,0))</f>
        <v>24461</v>
      </c>
      <c r="K113" s="24">
        <f>J113*$K$6</f>
        <v>733.82999999999993</v>
      </c>
      <c r="L113" s="24">
        <f>SUM(J113:K113)</f>
        <v>25194.83</v>
      </c>
      <c r="M113" s="24">
        <f>50*12</f>
        <v>600</v>
      </c>
      <c r="O113" s="24">
        <f>25*12</f>
        <v>300</v>
      </c>
      <c r="Q113" s="24">
        <v>4000</v>
      </c>
      <c r="S113" s="24">
        <f>SUM(L113:Q113)</f>
        <v>30094.83</v>
      </c>
      <c r="T113" s="22">
        <f>ROUND(S113*0.062,0)</f>
        <v>1866</v>
      </c>
      <c r="U113" s="22">
        <f>ROUND(S113*0.0145,0)</f>
        <v>436</v>
      </c>
      <c r="V113" s="22">
        <f>(ROUND(S113*$V$5,0))</f>
        <v>509</v>
      </c>
      <c r="W113" s="22">
        <f>(563.26*12)*$W$5</f>
        <v>7232.2584000000006</v>
      </c>
      <c r="X113" s="76">
        <f>(4.8*12)</f>
        <v>57.599999999999994</v>
      </c>
      <c r="Y113" s="22">
        <f>S113*0.0356</f>
        <v>1071.3759480000001</v>
      </c>
      <c r="Z113" s="22">
        <f>(9000*0.03)</f>
        <v>270</v>
      </c>
    </row>
    <row r="114" spans="1:29">
      <c r="B114" t="s">
        <v>679</v>
      </c>
      <c r="C114" t="s">
        <v>680</v>
      </c>
      <c r="D114">
        <v>2000</v>
      </c>
      <c r="E114" t="s">
        <v>34</v>
      </c>
      <c r="F114" t="s">
        <v>10</v>
      </c>
      <c r="G114" t="s">
        <v>36</v>
      </c>
      <c r="H114" s="26">
        <v>1</v>
      </c>
      <c r="I114" s="59">
        <v>8.5299999999999994</v>
      </c>
      <c r="J114" s="13">
        <f>IF(E114="H",ROUND(I114*2080,0),ROUND(I114*26,0))</f>
        <v>17742</v>
      </c>
      <c r="K114" s="24">
        <f>J114*$K$6</f>
        <v>532.26</v>
      </c>
      <c r="L114" s="24">
        <f>SUM(J114:K114)</f>
        <v>18274.259999999998</v>
      </c>
      <c r="Q114" s="24">
        <v>4000</v>
      </c>
      <c r="S114" s="24">
        <f>SUM(L114:Q114)</f>
        <v>22274.26</v>
      </c>
      <c r="T114" s="22">
        <f>ROUND(S114*0.062,0)</f>
        <v>1381</v>
      </c>
      <c r="U114" s="22">
        <f>ROUND(S114*0.0145,0)</f>
        <v>323</v>
      </c>
      <c r="V114" s="22">
        <f>(ROUND(S114*$V$5,0))</f>
        <v>376</v>
      </c>
      <c r="W114" s="22">
        <f>(563.26*12)*$W$5</f>
        <v>7232.2584000000006</v>
      </c>
      <c r="X114" s="76">
        <f>(4.8*12)</f>
        <v>57.599999999999994</v>
      </c>
      <c r="Y114" s="22">
        <f>S114*0.0356</f>
        <v>792.9636559999999</v>
      </c>
      <c r="Z114" s="22">
        <f>(9000*0.03)</f>
        <v>270</v>
      </c>
    </row>
    <row r="115" spans="1:29">
      <c r="A115">
        <v>65</v>
      </c>
      <c r="B115" t="s">
        <v>681</v>
      </c>
      <c r="C115" t="s">
        <v>682</v>
      </c>
      <c r="D115">
        <v>2200</v>
      </c>
      <c r="E115" t="s">
        <v>34</v>
      </c>
      <c r="F115" t="s">
        <v>10</v>
      </c>
      <c r="G115" t="s">
        <v>36</v>
      </c>
      <c r="H115" s="26">
        <v>1</v>
      </c>
      <c r="I115" s="59">
        <v>11.39</v>
      </c>
      <c r="J115" s="13">
        <f>IF(E115="H",ROUND(I115*2080,0),ROUND(I115*26,0))</f>
        <v>23691</v>
      </c>
      <c r="K115" s="24">
        <f>J115*$K$6</f>
        <v>710.73</v>
      </c>
      <c r="L115" s="24">
        <f>SUM(J115:K115)</f>
        <v>24401.73</v>
      </c>
      <c r="Q115" s="24">
        <v>4000</v>
      </c>
      <c r="S115" s="24">
        <f>SUM(L115:Q115)</f>
        <v>28401.73</v>
      </c>
      <c r="T115" s="22">
        <f>ROUND(S115*0.062,0)</f>
        <v>1761</v>
      </c>
      <c r="U115" s="22">
        <f>ROUND(S115*0.0145,0)</f>
        <v>412</v>
      </c>
      <c r="V115" s="22">
        <f>(ROUND(S115*$V$5,0))</f>
        <v>480</v>
      </c>
      <c r="W115" s="22">
        <f>(563.26*12)*$W$5</f>
        <v>7232.2584000000006</v>
      </c>
      <c r="X115" s="76">
        <f>(4.8*12)</f>
        <v>57.599999999999994</v>
      </c>
      <c r="Y115" s="22">
        <f>S115*0.0356</f>
        <v>1011.101588</v>
      </c>
      <c r="Z115" s="22">
        <f>(9000*0.03)</f>
        <v>270</v>
      </c>
    </row>
    <row r="116" spans="1:29" ht="13.5" customHeight="1">
      <c r="B116" t="s">
        <v>1128</v>
      </c>
      <c r="D116">
        <v>2000</v>
      </c>
      <c r="E116" t="s">
        <v>34</v>
      </c>
      <c r="F116" t="s">
        <v>10</v>
      </c>
      <c r="G116" s="1" t="s">
        <v>1181</v>
      </c>
      <c r="H116" s="26">
        <v>1</v>
      </c>
      <c r="I116" s="59">
        <v>11.78</v>
      </c>
      <c r="J116" s="13">
        <f>IF(E116="H",ROUND(I116*2080,0),ROUND(I116*26,0))</f>
        <v>24502</v>
      </c>
      <c r="K116" s="24">
        <v>2370.8000000000002</v>
      </c>
      <c r="L116" s="24">
        <f>SUM(J116:K116)</f>
        <v>26872.799999999999</v>
      </c>
      <c r="Q116" s="24">
        <v>250</v>
      </c>
      <c r="S116" s="24">
        <f>SUM(L116:Q116)</f>
        <v>27122.799999999999</v>
      </c>
      <c r="T116" s="22"/>
      <c r="U116" s="22"/>
      <c r="V116" s="22"/>
      <c r="W116" s="62"/>
      <c r="X116" s="22"/>
      <c r="Y116" s="22"/>
      <c r="Z116" s="22"/>
    </row>
    <row r="117" spans="1:29">
      <c r="H117" s="26"/>
      <c r="I117" s="59"/>
      <c r="J117" s="13"/>
      <c r="K117" s="24"/>
      <c r="L117" s="24"/>
      <c r="S117" s="24"/>
      <c r="T117" s="22"/>
      <c r="U117" s="22"/>
      <c r="V117" s="22"/>
      <c r="W117" s="22"/>
      <c r="X117" s="22"/>
      <c r="Y117" s="22"/>
      <c r="Z117" s="22"/>
    </row>
    <row r="118" spans="1:29">
      <c r="B118" t="s">
        <v>688</v>
      </c>
      <c r="C118" t="s">
        <v>689</v>
      </c>
      <c r="D118">
        <v>2200</v>
      </c>
      <c r="E118" t="s">
        <v>34</v>
      </c>
      <c r="F118" t="s">
        <v>10</v>
      </c>
      <c r="G118" t="s">
        <v>461</v>
      </c>
      <c r="H118" s="26">
        <v>1</v>
      </c>
      <c r="I118" s="59">
        <v>13.37</v>
      </c>
      <c r="J118" s="13">
        <f>IF(E118="H",ROUND(I118*2080,0),ROUND(I118*26,0))</f>
        <v>27810</v>
      </c>
      <c r="K118" s="24">
        <f>J118*$K$6</f>
        <v>834.3</v>
      </c>
      <c r="L118" s="24">
        <f>SUM(J118:K118)</f>
        <v>28644.3</v>
      </c>
      <c r="M118" s="24">
        <f>50*12</f>
        <v>600</v>
      </c>
      <c r="Q118" s="24">
        <v>4000</v>
      </c>
      <c r="S118" s="24">
        <f>SUM(L118:Q118)</f>
        <v>33244.300000000003</v>
      </c>
      <c r="T118" s="22">
        <f>ROUND(S118*0.062,0)</f>
        <v>2061</v>
      </c>
      <c r="U118" s="22">
        <f>ROUND(S118*0.0145,0)</f>
        <v>482</v>
      </c>
      <c r="V118" s="22">
        <f>(ROUND(S118*$V$5,0))</f>
        <v>562</v>
      </c>
      <c r="W118" s="22">
        <f>(563.26*12)*$W$5</f>
        <v>7232.2584000000006</v>
      </c>
      <c r="X118" s="76">
        <f>(4.8*12)</f>
        <v>57.599999999999994</v>
      </c>
      <c r="Y118" s="22">
        <f>S118*0.0352</f>
        <v>1170.1993600000001</v>
      </c>
      <c r="Z118" s="22">
        <f>(9000*0.03)</f>
        <v>270</v>
      </c>
    </row>
    <row r="119" spans="1:29">
      <c r="B119" t="s">
        <v>676</v>
      </c>
      <c r="C119" t="s">
        <v>678</v>
      </c>
      <c r="D119">
        <v>2200</v>
      </c>
      <c r="E119" t="s">
        <v>34</v>
      </c>
      <c r="F119" t="s">
        <v>10</v>
      </c>
      <c r="G119" t="s">
        <v>461</v>
      </c>
      <c r="H119" s="26">
        <v>1</v>
      </c>
      <c r="I119" s="59">
        <v>8.27</v>
      </c>
      <c r="J119" s="13">
        <f>IF(E119="H",ROUND(I119*2080,0),ROUND(I119*26,0))</f>
        <v>17202</v>
      </c>
      <c r="K119" s="24">
        <f>J119*$K$6</f>
        <v>516.05999999999995</v>
      </c>
      <c r="L119" s="24">
        <f>SUM(J119:K119)</f>
        <v>17718.060000000001</v>
      </c>
      <c r="P119" s="24"/>
      <c r="Q119" s="24">
        <v>4000</v>
      </c>
      <c r="S119" s="24">
        <f>SUM(L119:Q119)</f>
        <v>21718.06</v>
      </c>
      <c r="T119" s="22">
        <f>ROUND(S119*0.062,0)</f>
        <v>1347</v>
      </c>
      <c r="U119" s="22">
        <f>ROUND(S119*0.0145,0)</f>
        <v>315</v>
      </c>
      <c r="V119" s="22">
        <f>(ROUND(S119*$V$5,0))</f>
        <v>367</v>
      </c>
      <c r="W119" s="22">
        <f>(563.26*12)*$W$5</f>
        <v>7232.2584000000006</v>
      </c>
      <c r="X119" s="76">
        <f>(4.8*12)</f>
        <v>57.599999999999994</v>
      </c>
      <c r="Y119" s="22">
        <f>S119*0.0352</f>
        <v>764.47571200000004</v>
      </c>
      <c r="Z119" s="22">
        <f>(9000*0.03)</f>
        <v>270</v>
      </c>
    </row>
    <row r="120" spans="1:29">
      <c r="A120">
        <v>65</v>
      </c>
      <c r="B120" t="s">
        <v>28</v>
      </c>
      <c r="C120" t="s">
        <v>683</v>
      </c>
      <c r="D120">
        <v>2200</v>
      </c>
      <c r="E120" t="s">
        <v>34</v>
      </c>
      <c r="F120" t="s">
        <v>10</v>
      </c>
      <c r="G120" t="s">
        <v>461</v>
      </c>
      <c r="H120" s="26">
        <v>1</v>
      </c>
      <c r="I120" s="59">
        <v>8.5299999999999994</v>
      </c>
      <c r="J120" s="13">
        <f>IF(E120="H",ROUND(I120*2080,0),ROUND(I120*26,0))</f>
        <v>17742</v>
      </c>
      <c r="K120" s="24">
        <f>J120*$K$6</f>
        <v>532.26</v>
      </c>
      <c r="L120" s="24">
        <f>SUM(J120:K120)</f>
        <v>18274.259999999998</v>
      </c>
      <c r="Q120" s="24">
        <v>4000</v>
      </c>
      <c r="S120" s="24">
        <f>SUM(L120:Q120)</f>
        <v>22274.26</v>
      </c>
      <c r="T120" s="22">
        <f>ROUND(S120*0.062,0)</f>
        <v>1381</v>
      </c>
      <c r="U120" s="22">
        <f>ROUND(S120*0.0145,0)</f>
        <v>323</v>
      </c>
      <c r="V120" s="22">
        <f>(ROUND(S120*$V$5,0))</f>
        <v>376</v>
      </c>
      <c r="W120" s="22">
        <f>(563.26*12)*$W$5</f>
        <v>7232.2584000000006</v>
      </c>
      <c r="X120" s="76">
        <f>(4.8*12)</f>
        <v>57.599999999999994</v>
      </c>
      <c r="Y120" s="22">
        <f>S120*0.0352</f>
        <v>784.05395199999998</v>
      </c>
      <c r="Z120" s="22">
        <f>(9000*0.03)</f>
        <v>270</v>
      </c>
    </row>
    <row r="121" spans="1:29" ht="13.5" customHeight="1">
      <c r="B121" t="s">
        <v>1128</v>
      </c>
      <c r="D121">
        <v>2200</v>
      </c>
      <c r="E121" t="s">
        <v>34</v>
      </c>
      <c r="F121" t="s">
        <v>10</v>
      </c>
      <c r="G121" s="1" t="s">
        <v>461</v>
      </c>
      <c r="H121" s="26">
        <v>1</v>
      </c>
      <c r="I121" s="59">
        <v>11.78</v>
      </c>
      <c r="J121" s="13">
        <f>IF(E121="H",ROUND(I121*2080,0),ROUND(I121*26,0))</f>
        <v>24502</v>
      </c>
      <c r="K121" s="24">
        <v>2370.8000000000002</v>
      </c>
      <c r="L121" s="24">
        <f>SUM(J121:K121)</f>
        <v>26872.799999999999</v>
      </c>
      <c r="Q121" s="24">
        <v>500</v>
      </c>
      <c r="S121" s="24">
        <f>SUM(L121:Q121)</f>
        <v>27372.799999999999</v>
      </c>
      <c r="T121" s="22"/>
      <c r="U121" s="22"/>
      <c r="V121" s="22"/>
      <c r="W121" s="22"/>
      <c r="X121" s="22"/>
      <c r="Y121" s="22"/>
      <c r="Z121" s="22"/>
    </row>
    <row r="122" spans="1:29">
      <c r="F122" s="7" t="s">
        <v>62</v>
      </c>
      <c r="H122" s="26"/>
      <c r="J122" s="8">
        <f t="shared" ref="J122:Z122" si="57">SUM(J112:J121)</f>
        <v>203506</v>
      </c>
      <c r="K122" s="8">
        <f t="shared" si="57"/>
        <v>9376.66</v>
      </c>
      <c r="L122" s="8">
        <f t="shared" si="57"/>
        <v>212882.65999999997</v>
      </c>
      <c r="M122" s="8">
        <f t="shared" si="57"/>
        <v>1800</v>
      </c>
      <c r="N122" s="8">
        <f t="shared" si="57"/>
        <v>0</v>
      </c>
      <c r="O122" s="8">
        <f t="shared" si="57"/>
        <v>300</v>
      </c>
      <c r="P122" s="8">
        <f t="shared" si="57"/>
        <v>0</v>
      </c>
      <c r="Q122" s="8">
        <f t="shared" si="57"/>
        <v>28750</v>
      </c>
      <c r="R122" s="8">
        <f t="shared" si="57"/>
        <v>0</v>
      </c>
      <c r="S122" s="8">
        <f t="shared" si="57"/>
        <v>243732.65999999997</v>
      </c>
      <c r="T122" s="8">
        <f t="shared" si="57"/>
        <v>11733</v>
      </c>
      <c r="U122" s="8">
        <f t="shared" si="57"/>
        <v>2744</v>
      </c>
      <c r="V122" s="8">
        <f t="shared" si="57"/>
        <v>3198</v>
      </c>
      <c r="W122" s="8">
        <f t="shared" si="57"/>
        <v>50625.808799999999</v>
      </c>
      <c r="X122" s="8">
        <f t="shared" si="57"/>
        <v>403.20000000000005</v>
      </c>
      <c r="Y122" s="8">
        <f t="shared" si="57"/>
        <v>6705.9446880000005</v>
      </c>
      <c r="Z122" s="8">
        <f t="shared" si="57"/>
        <v>1890</v>
      </c>
    </row>
    <row r="123" spans="1:29">
      <c r="F123" s="7"/>
      <c r="I123" s="59"/>
      <c r="J123" s="17"/>
      <c r="K123" s="17"/>
      <c r="L123" s="17"/>
      <c r="M123" s="30"/>
      <c r="N123" s="30"/>
      <c r="O123" s="30"/>
      <c r="P123" s="17"/>
      <c r="Q123" s="30"/>
      <c r="R123" s="30"/>
      <c r="S123" s="17"/>
      <c r="T123" s="17"/>
      <c r="U123" s="17"/>
      <c r="V123" s="17"/>
      <c r="W123" s="17"/>
      <c r="X123" s="17"/>
      <c r="Y123" s="17"/>
      <c r="Z123" s="17"/>
    </row>
    <row r="124" spans="1:29">
      <c r="F124" s="7" t="s">
        <v>897</v>
      </c>
      <c r="H124" s="26"/>
      <c r="J124" s="8">
        <f t="shared" ref="J124:Q124" si="58">J110+J122</f>
        <v>645464</v>
      </c>
      <c r="K124" s="8">
        <f t="shared" si="58"/>
        <v>22076.769999999997</v>
      </c>
      <c r="L124" s="8">
        <f t="shared" si="58"/>
        <v>667540.7699999999</v>
      </c>
      <c r="M124" s="8">
        <f t="shared" si="58"/>
        <v>3600</v>
      </c>
      <c r="N124" s="8">
        <f t="shared" si="58"/>
        <v>2600</v>
      </c>
      <c r="O124" s="8">
        <f t="shared" si="58"/>
        <v>900</v>
      </c>
      <c r="P124" s="8">
        <f t="shared" si="58"/>
        <v>0</v>
      </c>
      <c r="Q124" s="8">
        <f t="shared" si="58"/>
        <v>30750</v>
      </c>
      <c r="R124" s="8"/>
      <c r="S124" s="8">
        <f t="shared" ref="S124:Z124" si="59">S110+S122</f>
        <v>705390.7699999999</v>
      </c>
      <c r="T124" s="8">
        <f t="shared" si="59"/>
        <v>40355</v>
      </c>
      <c r="U124" s="8">
        <f t="shared" si="59"/>
        <v>9438</v>
      </c>
      <c r="V124" s="8">
        <f t="shared" si="59"/>
        <v>10999</v>
      </c>
      <c r="W124" s="8">
        <f t="shared" si="59"/>
        <v>124756.45740000001</v>
      </c>
      <c r="X124" s="8">
        <f t="shared" si="59"/>
        <v>1094.4000000000001</v>
      </c>
      <c r="Y124" s="8">
        <f t="shared" si="59"/>
        <v>11555.600531399999</v>
      </c>
      <c r="Z124" s="8">
        <f t="shared" si="59"/>
        <v>5400</v>
      </c>
      <c r="AB124" s="63">
        <f>SUM(S124:AA124)</f>
        <v>908989.22793139995</v>
      </c>
      <c r="AC124" s="63">
        <f>AB124/2</f>
        <v>454494.61396569997</v>
      </c>
    </row>
    <row r="125" spans="1:29">
      <c r="F125" s="7"/>
      <c r="H125" s="2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9" s="4" customFormat="1">
      <c r="B126" s="1" t="s">
        <v>756</v>
      </c>
      <c r="C126" t="s">
        <v>757</v>
      </c>
      <c r="D126">
        <v>28</v>
      </c>
      <c r="E126" t="s">
        <v>34</v>
      </c>
      <c r="F126" t="s">
        <v>758</v>
      </c>
      <c r="G126" t="s">
        <v>808</v>
      </c>
      <c r="H126" s="27" t="s">
        <v>25</v>
      </c>
      <c r="I126" s="59">
        <v>0</v>
      </c>
      <c r="J126" s="22">
        <f>IF(E126="H",ROUND(I126*2080/2,0),ROUND(I126*26/2,0))</f>
        <v>0</v>
      </c>
      <c r="K126" s="24">
        <f>J126*$K$6</f>
        <v>0</v>
      </c>
      <c r="L126" s="24">
        <f>SUM(J126:K126)</f>
        <v>0</v>
      </c>
      <c r="M126" s="24">
        <v>0</v>
      </c>
      <c r="N126" s="24"/>
      <c r="O126" s="24"/>
      <c r="P126" s="24"/>
      <c r="Q126" s="24"/>
      <c r="R126" s="24"/>
      <c r="S126" s="24">
        <f>SUM(L126:Q126)</f>
        <v>0</v>
      </c>
      <c r="T126" s="22">
        <f>ROUND(S126*0.062,0)</f>
        <v>0</v>
      </c>
      <c r="U126" s="22">
        <f>ROUND(S126*0.0145,0)</f>
        <v>0</v>
      </c>
      <c r="V126" s="22">
        <f>(ROUND(S126*$V$5,0))</f>
        <v>0</v>
      </c>
      <c r="W126" s="22">
        <v>0</v>
      </c>
      <c r="X126" s="76">
        <v>0</v>
      </c>
      <c r="Y126" s="22">
        <f>(S126*0.0044)</f>
        <v>0</v>
      </c>
      <c r="Z126" s="22">
        <v>0</v>
      </c>
      <c r="AB126" s="64"/>
      <c r="AC126" s="64"/>
    </row>
    <row r="127" spans="1:29">
      <c r="F127" s="7" t="s">
        <v>803</v>
      </c>
      <c r="H127" s="26"/>
      <c r="I127" s="59"/>
      <c r="J127" s="8">
        <f t="shared" ref="J127:Z127" si="60">SUM(J126)</f>
        <v>0</v>
      </c>
      <c r="K127" s="8">
        <f t="shared" si="60"/>
        <v>0</v>
      </c>
      <c r="L127" s="8">
        <f t="shared" si="60"/>
        <v>0</v>
      </c>
      <c r="M127" s="8">
        <f t="shared" si="60"/>
        <v>0</v>
      </c>
      <c r="N127" s="8">
        <f t="shared" si="60"/>
        <v>0</v>
      </c>
      <c r="O127" s="8">
        <f t="shared" si="60"/>
        <v>0</v>
      </c>
      <c r="P127" s="8">
        <f t="shared" si="60"/>
        <v>0</v>
      </c>
      <c r="Q127" s="8">
        <f t="shared" si="60"/>
        <v>0</v>
      </c>
      <c r="R127" s="8"/>
      <c r="S127" s="8">
        <f t="shared" si="60"/>
        <v>0</v>
      </c>
      <c r="T127" s="8">
        <f t="shared" si="60"/>
        <v>0</v>
      </c>
      <c r="U127" s="8">
        <f t="shared" si="60"/>
        <v>0</v>
      </c>
      <c r="V127" s="8">
        <f t="shared" si="60"/>
        <v>0</v>
      </c>
      <c r="W127" s="8">
        <f t="shared" si="60"/>
        <v>0</v>
      </c>
      <c r="X127" s="8">
        <f t="shared" si="60"/>
        <v>0</v>
      </c>
      <c r="Y127" s="8">
        <f t="shared" si="60"/>
        <v>0</v>
      </c>
      <c r="Z127" s="8">
        <f t="shared" si="60"/>
        <v>0</v>
      </c>
      <c r="AB127" s="63">
        <f>SUM(T127:Z127)/2</f>
        <v>0</v>
      </c>
    </row>
    <row r="128" spans="1:29">
      <c r="I128" s="59"/>
      <c r="J128" s="2"/>
      <c r="T128" s="13"/>
      <c r="U128" s="13"/>
      <c r="V128" s="13"/>
      <c r="W128" s="13"/>
      <c r="X128" s="13"/>
      <c r="Y128" s="13"/>
      <c r="Z128" s="13"/>
    </row>
    <row r="129" spans="1:29" ht="13.5" thickBot="1">
      <c r="F129" s="7"/>
      <c r="J129" s="17"/>
      <c r="T129" s="17"/>
      <c r="U129" s="17"/>
      <c r="V129" s="17"/>
      <c r="W129" s="17"/>
      <c r="X129" s="17"/>
      <c r="Y129" s="17"/>
      <c r="Z129" s="17"/>
    </row>
    <row r="130" spans="1:29" ht="13.5" thickBot="1">
      <c r="F130" s="7" t="s">
        <v>63</v>
      </c>
      <c r="J130" s="19">
        <f t="shared" ref="J130:Q130" si="61">J110+J122+J127</f>
        <v>645464</v>
      </c>
      <c r="K130" s="19">
        <f t="shared" si="61"/>
        <v>22076.769999999997</v>
      </c>
      <c r="L130" s="19">
        <f t="shared" si="61"/>
        <v>667540.7699999999</v>
      </c>
      <c r="M130" s="19">
        <f t="shared" si="61"/>
        <v>3600</v>
      </c>
      <c r="N130" s="19">
        <f t="shared" si="61"/>
        <v>2600</v>
      </c>
      <c r="O130" s="19">
        <f t="shared" si="61"/>
        <v>900</v>
      </c>
      <c r="P130" s="19">
        <f t="shared" si="61"/>
        <v>0</v>
      </c>
      <c r="Q130" s="19">
        <f t="shared" si="61"/>
        <v>30750</v>
      </c>
      <c r="R130" s="19"/>
      <c r="S130" s="19">
        <f t="shared" ref="S130:Z130" si="62">S110+S122+S127</f>
        <v>705390.7699999999</v>
      </c>
      <c r="T130" s="19">
        <f t="shared" si="62"/>
        <v>40355</v>
      </c>
      <c r="U130" s="19">
        <f t="shared" si="62"/>
        <v>9438</v>
      </c>
      <c r="V130" s="19">
        <f t="shared" si="62"/>
        <v>10999</v>
      </c>
      <c r="W130" s="19">
        <f t="shared" si="62"/>
        <v>124756.45740000001</v>
      </c>
      <c r="X130" s="19">
        <f t="shared" si="62"/>
        <v>1094.4000000000001</v>
      </c>
      <c r="Y130" s="19">
        <f t="shared" si="62"/>
        <v>11555.600531399999</v>
      </c>
      <c r="Z130" s="19">
        <f t="shared" si="62"/>
        <v>5400</v>
      </c>
      <c r="AB130" s="65">
        <f>SUM(S130:AA130)</f>
        <v>908989.22793139995</v>
      </c>
    </row>
    <row r="131" spans="1:29" ht="13.5" thickTop="1">
      <c r="J131" s="2"/>
      <c r="T131" s="13"/>
      <c r="U131" s="13"/>
      <c r="V131" s="13"/>
      <c r="W131" s="13"/>
      <c r="X131" s="13"/>
      <c r="Y131" s="13"/>
      <c r="Z131" s="13"/>
    </row>
    <row r="132" spans="1:29">
      <c r="J132" s="2"/>
      <c r="T132" s="13"/>
      <c r="U132" s="13"/>
      <c r="V132" s="13"/>
      <c r="W132" s="13"/>
      <c r="X132" s="13"/>
      <c r="Y132" s="13"/>
      <c r="Z132" s="13"/>
    </row>
    <row r="133" spans="1:29">
      <c r="J133" s="30">
        <f>S133</f>
        <v>2053103.7119999998</v>
      </c>
      <c r="K133" s="30">
        <f t="shared" ref="K133:Q133" si="63">+K130+K87</f>
        <v>74560.95</v>
      </c>
      <c r="L133" s="30">
        <f t="shared" si="63"/>
        <v>1936919.9500000002</v>
      </c>
      <c r="M133" s="30">
        <f t="shared" si="63"/>
        <v>8400</v>
      </c>
      <c r="N133" s="30">
        <f t="shared" si="63"/>
        <v>5200</v>
      </c>
      <c r="O133" s="30">
        <f t="shared" si="63"/>
        <v>1860</v>
      </c>
      <c r="P133" s="30">
        <f t="shared" si="63"/>
        <v>0</v>
      </c>
      <c r="Q133" s="30">
        <f t="shared" si="63"/>
        <v>78848.762000000002</v>
      </c>
      <c r="R133" s="30"/>
      <c r="S133" s="30">
        <f t="shared" ref="S133:Z133" si="64">+S130+S87</f>
        <v>2053103.7119999998</v>
      </c>
      <c r="T133" s="30">
        <f t="shared" si="64"/>
        <v>118621</v>
      </c>
      <c r="U133" s="30">
        <f t="shared" si="64"/>
        <v>27741</v>
      </c>
      <c r="V133" s="30">
        <f t="shared" si="64"/>
        <v>32333</v>
      </c>
      <c r="W133" s="30">
        <f t="shared" si="64"/>
        <v>352572.59699999995</v>
      </c>
      <c r="X133" s="30">
        <f t="shared" si="64"/>
        <v>3628.8</v>
      </c>
      <c r="Y133" s="30">
        <f t="shared" si="64"/>
        <v>40816.513941265599</v>
      </c>
      <c r="Z133" s="30">
        <f t="shared" si="64"/>
        <v>17550</v>
      </c>
    </row>
    <row r="134" spans="1:29">
      <c r="J134" s="31">
        <f>SUM(T133:Z133)</f>
        <v>593262.91094126564</v>
      </c>
      <c r="T134" s="13"/>
      <c r="U134" s="13"/>
      <c r="V134" s="13"/>
      <c r="W134" s="13"/>
      <c r="X134" s="13"/>
      <c r="Y134" s="13"/>
      <c r="Z134" s="13"/>
    </row>
    <row r="135" spans="1:29" ht="13.5" thickBot="1">
      <c r="J135" s="32">
        <f>+J134+J133</f>
        <v>2646366.6229412653</v>
      </c>
      <c r="T135" s="13"/>
      <c r="U135" s="13"/>
      <c r="V135" s="13"/>
      <c r="W135" s="13"/>
      <c r="X135" s="13"/>
      <c r="Y135" s="13"/>
      <c r="Z135" s="13"/>
    </row>
    <row r="136" spans="1:29" ht="13.5" thickTop="1">
      <c r="J136" s="2"/>
      <c r="W136" s="20">
        <f>W100+W7</f>
        <v>9040.3230000000003</v>
      </c>
    </row>
    <row r="137" spans="1:29">
      <c r="A137">
        <v>52</v>
      </c>
    </row>
    <row r="138" spans="1:29">
      <c r="A138">
        <v>44</v>
      </c>
    </row>
    <row r="139" spans="1:29">
      <c r="D139" s="433" t="s">
        <v>48</v>
      </c>
      <c r="E139" s="433"/>
      <c r="F139" s="433"/>
      <c r="G139" s="433"/>
      <c r="H139" s="433"/>
      <c r="I139" s="433"/>
      <c r="J139" s="433"/>
      <c r="K139" s="433"/>
      <c r="L139" s="433"/>
      <c r="M139" s="433"/>
      <c r="N139" s="433"/>
      <c r="O139" s="433"/>
      <c r="P139" s="433"/>
      <c r="Q139" s="433"/>
      <c r="R139" s="433"/>
      <c r="S139" s="433"/>
      <c r="T139" s="433"/>
      <c r="U139" s="433"/>
      <c r="V139" s="433"/>
      <c r="W139" s="433"/>
      <c r="X139" s="433"/>
      <c r="Y139" s="433"/>
      <c r="Z139" s="433"/>
    </row>
    <row r="140" spans="1:29">
      <c r="D140" s="433" t="s">
        <v>735</v>
      </c>
      <c r="E140" s="433"/>
      <c r="F140" s="433"/>
      <c r="G140" s="433"/>
      <c r="H140" s="433"/>
      <c r="I140" s="433"/>
      <c r="J140" s="433"/>
      <c r="K140" s="433"/>
      <c r="L140" s="433"/>
      <c r="M140" s="433"/>
      <c r="N140" s="433"/>
      <c r="O140" s="433"/>
      <c r="P140" s="433"/>
      <c r="Q140" s="433"/>
      <c r="R140" s="433"/>
      <c r="S140" s="433"/>
      <c r="T140" s="433"/>
      <c r="U140" s="433"/>
      <c r="V140" s="433"/>
      <c r="W140" s="433"/>
      <c r="X140" s="433"/>
      <c r="Y140" s="433"/>
      <c r="Z140" s="433"/>
    </row>
    <row r="141" spans="1:29">
      <c r="D141" s="433" t="s">
        <v>1150</v>
      </c>
      <c r="E141" s="433"/>
      <c r="F141" s="433"/>
      <c r="G141" s="433"/>
      <c r="H141" s="433"/>
      <c r="I141" s="433"/>
      <c r="J141" s="433"/>
      <c r="K141" s="433"/>
      <c r="L141" s="433"/>
      <c r="M141" s="433"/>
      <c r="N141" s="433"/>
      <c r="O141" s="433"/>
      <c r="P141" s="433"/>
      <c r="Q141" s="433"/>
      <c r="R141" s="433"/>
      <c r="S141" s="433"/>
      <c r="T141" s="433"/>
      <c r="U141" s="433"/>
      <c r="V141" s="433"/>
      <c r="W141" s="433"/>
      <c r="X141" s="433"/>
      <c r="Y141" s="433"/>
      <c r="Z141" s="433"/>
    </row>
    <row r="142" spans="1:29">
      <c r="I142" s="59"/>
    </row>
    <row r="143" spans="1:29">
      <c r="T143" s="14">
        <v>6.2E-2</v>
      </c>
      <c r="U143" s="14">
        <v>1.4500000000000001E-2</v>
      </c>
      <c r="V143" s="14">
        <f>V5</f>
        <v>1.6899999999999998E-2</v>
      </c>
      <c r="W143" s="60">
        <f>W5</f>
        <v>1.07</v>
      </c>
      <c r="X143" s="14"/>
      <c r="Y143" s="4" t="s">
        <v>49</v>
      </c>
      <c r="Z143" s="14">
        <v>0.03</v>
      </c>
    </row>
    <row r="144" spans="1:29" s="4" customFormat="1" ht="33.75">
      <c r="A144" s="5" t="s">
        <v>40</v>
      </c>
      <c r="B144" s="10" t="s">
        <v>41</v>
      </c>
      <c r="C144" s="10" t="s">
        <v>42</v>
      </c>
      <c r="D144" s="10" t="s">
        <v>43</v>
      </c>
      <c r="E144" s="15" t="s">
        <v>50</v>
      </c>
      <c r="F144" s="10" t="s">
        <v>44</v>
      </c>
      <c r="G144" s="10" t="s">
        <v>45</v>
      </c>
      <c r="H144" s="10" t="s">
        <v>51</v>
      </c>
      <c r="I144" s="16" t="s">
        <v>52</v>
      </c>
      <c r="J144" s="11" t="str">
        <f>J6</f>
        <v>FYE 2015-16     BASE PAY</v>
      </c>
      <c r="K144" s="33">
        <f>K6</f>
        <v>0.03</v>
      </c>
      <c r="L144" s="11" t="s">
        <v>658</v>
      </c>
      <c r="M144" s="34" t="s">
        <v>814</v>
      </c>
      <c r="N144" s="34" t="s">
        <v>656</v>
      </c>
      <c r="O144" s="34" t="s">
        <v>657</v>
      </c>
      <c r="P144" s="11" t="s">
        <v>416</v>
      </c>
      <c r="Q144" s="34" t="s">
        <v>280</v>
      </c>
      <c r="R144" s="34"/>
      <c r="S144" s="11" t="s">
        <v>659</v>
      </c>
      <c r="T144" s="11" t="s">
        <v>37</v>
      </c>
      <c r="U144" s="11" t="s">
        <v>47</v>
      </c>
      <c r="V144" s="11" t="s">
        <v>393</v>
      </c>
      <c r="W144" s="11" t="s">
        <v>38</v>
      </c>
      <c r="X144" s="11" t="s">
        <v>247</v>
      </c>
      <c r="Y144" s="11" t="s">
        <v>39</v>
      </c>
      <c r="Z144" s="11" t="s">
        <v>46</v>
      </c>
      <c r="AB144" s="64"/>
      <c r="AC144" s="64"/>
    </row>
    <row r="145" spans="1:30" ht="13.5" thickBot="1">
      <c r="A145" t="s">
        <v>702</v>
      </c>
      <c r="B145" t="s">
        <v>703</v>
      </c>
      <c r="C145" t="s">
        <v>669</v>
      </c>
      <c r="E145" t="s">
        <v>34</v>
      </c>
      <c r="F145" t="s">
        <v>447</v>
      </c>
      <c r="G145" t="s">
        <v>704</v>
      </c>
      <c r="H145" s="26">
        <v>1</v>
      </c>
      <c r="I145" s="12">
        <v>10.3</v>
      </c>
      <c r="J145" s="22">
        <f>IF(E145="H",ROUND(I145*2080,0),ROUND(I145*26,0))</f>
        <v>21424</v>
      </c>
      <c r="K145" s="24">
        <f>J145*$K$6</f>
        <v>642.72</v>
      </c>
      <c r="L145" s="24">
        <f>SUM(J145:K145)</f>
        <v>22066.720000000001</v>
      </c>
      <c r="S145" s="24">
        <f>SUM(L145:Q145)</f>
        <v>22066.720000000001</v>
      </c>
      <c r="T145" s="22">
        <f>ROUND(S145*0.062,0)</f>
        <v>1368</v>
      </c>
      <c r="U145" s="22">
        <f>ROUND(S145*0.0145,0)</f>
        <v>320</v>
      </c>
      <c r="V145" s="22">
        <f>(ROUND(S145*$V$5,0))</f>
        <v>373</v>
      </c>
      <c r="W145" s="22">
        <f>(563.26*12)*$W$5</f>
        <v>7232.2584000000006</v>
      </c>
      <c r="X145" s="76">
        <f>(4.8*12)</f>
        <v>57.599999999999994</v>
      </c>
      <c r="Y145" s="22">
        <f>(S145*0.0044)</f>
        <v>97.093568000000005</v>
      </c>
      <c r="Z145" s="22">
        <f>(9000*0.03)</f>
        <v>270</v>
      </c>
    </row>
    <row r="146" spans="1:30" ht="13.5" thickBot="1">
      <c r="F146" s="7" t="s">
        <v>892</v>
      </c>
      <c r="H146" s="26"/>
      <c r="I146" s="59"/>
      <c r="J146" s="8">
        <f t="shared" ref="J146:Z146" si="65">SUM(J145:J145)</f>
        <v>21424</v>
      </c>
      <c r="K146" s="8">
        <f t="shared" si="65"/>
        <v>642.72</v>
      </c>
      <c r="L146" s="8">
        <f t="shared" si="65"/>
        <v>22066.720000000001</v>
      </c>
      <c r="M146" s="8">
        <f t="shared" si="65"/>
        <v>0</v>
      </c>
      <c r="N146" s="8">
        <f t="shared" si="65"/>
        <v>0</v>
      </c>
      <c r="O146" s="8">
        <f t="shared" si="65"/>
        <v>0</v>
      </c>
      <c r="P146" s="8">
        <f t="shared" si="65"/>
        <v>0</v>
      </c>
      <c r="Q146" s="8">
        <f t="shared" si="65"/>
        <v>0</v>
      </c>
      <c r="R146" s="8"/>
      <c r="S146" s="8">
        <f t="shared" si="65"/>
        <v>22066.720000000001</v>
      </c>
      <c r="T146" s="8">
        <f t="shared" si="65"/>
        <v>1368</v>
      </c>
      <c r="U146" s="8">
        <f t="shared" si="65"/>
        <v>320</v>
      </c>
      <c r="V146" s="8">
        <f t="shared" si="65"/>
        <v>373</v>
      </c>
      <c r="W146" s="8">
        <f t="shared" si="65"/>
        <v>7232.2584000000006</v>
      </c>
      <c r="X146" s="8">
        <f t="shared" si="65"/>
        <v>57.599999999999994</v>
      </c>
      <c r="Y146" s="8">
        <f t="shared" si="65"/>
        <v>97.093568000000005</v>
      </c>
      <c r="Z146" s="8">
        <f t="shared" si="65"/>
        <v>270</v>
      </c>
      <c r="AB146" s="65">
        <f>SUM(S146:AA146)</f>
        <v>31784.671967999999</v>
      </c>
    </row>
    <row r="147" spans="1:30">
      <c r="A147">
        <v>27</v>
      </c>
    </row>
    <row r="148" spans="1:30">
      <c r="A148">
        <v>21</v>
      </c>
      <c r="U148" s="24">
        <f>T145+U145+Y145</f>
        <v>1785.093568</v>
      </c>
    </row>
    <row r="149" spans="1:30">
      <c r="A149">
        <v>6</v>
      </c>
      <c r="AB149" s="63" t="s">
        <v>923</v>
      </c>
    </row>
    <row r="150" spans="1:30" ht="13.5" thickBot="1">
      <c r="J150" s="37">
        <f t="shared" ref="J150:Q150" si="66">J87+J130+J146</f>
        <v>1883783</v>
      </c>
      <c r="K150" s="37">
        <f t="shared" si="66"/>
        <v>75203.67</v>
      </c>
      <c r="L150" s="37">
        <f t="shared" si="66"/>
        <v>1958986.6700000002</v>
      </c>
      <c r="M150" s="37">
        <f t="shared" si="66"/>
        <v>8400</v>
      </c>
      <c r="N150" s="37">
        <f t="shared" si="66"/>
        <v>5200</v>
      </c>
      <c r="O150" s="37">
        <f t="shared" si="66"/>
        <v>1860</v>
      </c>
      <c r="P150" s="37">
        <f t="shared" si="66"/>
        <v>0</v>
      </c>
      <c r="Q150" s="37">
        <f t="shared" si="66"/>
        <v>78848.762000000002</v>
      </c>
      <c r="R150" s="37"/>
      <c r="S150" s="37">
        <f t="shared" ref="S150:Z150" si="67">S87+S130+S146</f>
        <v>2075170.4319999998</v>
      </c>
      <c r="T150" s="37">
        <f t="shared" si="67"/>
        <v>119989</v>
      </c>
      <c r="U150" s="37">
        <f t="shared" si="67"/>
        <v>28061</v>
      </c>
      <c r="V150" s="37">
        <f t="shared" si="67"/>
        <v>32706</v>
      </c>
      <c r="W150" s="37">
        <f t="shared" si="67"/>
        <v>359804.85539999994</v>
      </c>
      <c r="X150" s="37">
        <f t="shared" si="67"/>
        <v>3686.4</v>
      </c>
      <c r="Y150" s="37">
        <f t="shared" si="67"/>
        <v>40913.607509265596</v>
      </c>
      <c r="Z150" s="37">
        <f t="shared" si="67"/>
        <v>17820</v>
      </c>
      <c r="AB150" s="63">
        <f>SUM(S150:AA150)</f>
        <v>2678151.2949092654</v>
      </c>
      <c r="AD150" s="20"/>
    </row>
    <row r="151" spans="1:30" ht="13.5" thickTop="1">
      <c r="W151" s="24"/>
      <c r="AB151" s="66" t="e">
        <f>#REF!</f>
        <v>#REF!</v>
      </c>
      <c r="AD151" s="20"/>
    </row>
    <row r="152" spans="1:30">
      <c r="W152" s="24"/>
      <c r="AD152" s="20"/>
    </row>
    <row r="154" spans="1:30">
      <c r="D154" s="433" t="s">
        <v>48</v>
      </c>
      <c r="E154" s="433"/>
      <c r="F154" s="433"/>
      <c r="G154" s="433"/>
      <c r="H154" s="433"/>
      <c r="I154" s="433"/>
      <c r="J154" s="433"/>
      <c r="K154" s="433"/>
      <c r="L154" s="433"/>
      <c r="M154" s="433"/>
      <c r="N154" s="433"/>
      <c r="O154" s="433"/>
      <c r="P154" s="433"/>
      <c r="Q154" s="433"/>
      <c r="R154" s="433"/>
      <c r="S154" s="433"/>
      <c r="T154" s="433"/>
      <c r="U154" s="433"/>
      <c r="V154" s="433"/>
      <c r="W154" s="433"/>
      <c r="X154" s="433"/>
      <c r="Y154" s="433"/>
      <c r="Z154" s="433"/>
    </row>
    <row r="155" spans="1:30">
      <c r="D155" s="433" t="s">
        <v>949</v>
      </c>
      <c r="E155" s="433"/>
      <c r="F155" s="433"/>
      <c r="G155" s="433"/>
      <c r="H155" s="433"/>
      <c r="I155" s="433"/>
      <c r="J155" s="433"/>
      <c r="K155" s="433"/>
      <c r="L155" s="433"/>
      <c r="M155" s="433"/>
      <c r="N155" s="433"/>
      <c r="O155" s="433"/>
      <c r="P155" s="433"/>
      <c r="Q155" s="433"/>
      <c r="R155" s="433"/>
      <c r="S155" s="433"/>
      <c r="T155" s="433"/>
      <c r="U155" s="433"/>
      <c r="V155" s="433"/>
      <c r="W155" s="433"/>
      <c r="X155" s="433"/>
      <c r="Y155" s="433"/>
      <c r="Z155" s="433"/>
    </row>
    <row r="156" spans="1:30">
      <c r="D156" s="434" t="s">
        <v>1150</v>
      </c>
      <c r="E156" s="433"/>
      <c r="F156" s="433"/>
      <c r="G156" s="433"/>
      <c r="H156" s="433"/>
      <c r="I156" s="433"/>
      <c r="J156" s="433"/>
      <c r="K156" s="433"/>
      <c r="L156" s="433"/>
      <c r="M156" s="433"/>
      <c r="N156" s="433"/>
      <c r="O156" s="433"/>
      <c r="P156" s="433"/>
      <c r="Q156" s="433"/>
      <c r="R156" s="433"/>
      <c r="S156" s="433"/>
      <c r="T156" s="433"/>
      <c r="U156" s="433"/>
      <c r="V156" s="433"/>
      <c r="W156" s="433"/>
      <c r="X156" s="433"/>
      <c r="Y156" s="433"/>
      <c r="Z156" s="433"/>
    </row>
    <row r="157" spans="1:30">
      <c r="I157" s="59"/>
    </row>
    <row r="158" spans="1:30">
      <c r="T158" s="14">
        <v>6.2E-2</v>
      </c>
      <c r="U158" s="14">
        <v>1.4500000000000001E-2</v>
      </c>
      <c r="V158" s="14">
        <f>V20</f>
        <v>1485</v>
      </c>
      <c r="W158" s="14"/>
      <c r="X158" s="14"/>
      <c r="Y158" s="4" t="s">
        <v>49</v>
      </c>
      <c r="Z158" s="14">
        <v>0.03</v>
      </c>
    </row>
    <row r="159" spans="1:30" s="4" customFormat="1" ht="33.75">
      <c r="A159" s="5" t="s">
        <v>40</v>
      </c>
      <c r="B159" s="10" t="s">
        <v>41</v>
      </c>
      <c r="C159" s="10" t="s">
        <v>42</v>
      </c>
      <c r="D159" s="10" t="s">
        <v>43</v>
      </c>
      <c r="E159" s="15" t="s">
        <v>50</v>
      </c>
      <c r="F159" s="10" t="s">
        <v>44</v>
      </c>
      <c r="G159" s="10" t="s">
        <v>45</v>
      </c>
      <c r="H159" s="10" t="s">
        <v>51</v>
      </c>
      <c r="I159" s="16" t="s">
        <v>52</v>
      </c>
      <c r="J159" s="11" t="str">
        <f>J144</f>
        <v>FYE 2015-16     BASE PAY</v>
      </c>
      <c r="K159" s="33">
        <f>K6</f>
        <v>0.03</v>
      </c>
      <c r="L159" s="11" t="s">
        <v>658</v>
      </c>
      <c r="M159" s="34" t="s">
        <v>814</v>
      </c>
      <c r="N159" s="34" t="s">
        <v>656</v>
      </c>
      <c r="O159" s="34" t="s">
        <v>657</v>
      </c>
      <c r="P159" s="11" t="s">
        <v>416</v>
      </c>
      <c r="Q159" s="34" t="s">
        <v>280</v>
      </c>
      <c r="R159" s="34"/>
      <c r="S159" s="11" t="s">
        <v>659</v>
      </c>
      <c r="T159" s="11" t="s">
        <v>37</v>
      </c>
      <c r="U159" s="11" t="s">
        <v>47</v>
      </c>
      <c r="V159" s="11" t="s">
        <v>393</v>
      </c>
      <c r="W159" s="11" t="s">
        <v>38</v>
      </c>
      <c r="X159" s="11" t="s">
        <v>247</v>
      </c>
      <c r="Y159" s="11" t="s">
        <v>39</v>
      </c>
      <c r="Z159" s="11" t="s">
        <v>46</v>
      </c>
      <c r="AB159" s="64"/>
      <c r="AC159" s="64"/>
    </row>
    <row r="160" spans="1:30" ht="13.5" thickBot="1">
      <c r="E160" t="s">
        <v>34</v>
      </c>
      <c r="F160" t="s">
        <v>950</v>
      </c>
      <c r="G160" t="s">
        <v>951</v>
      </c>
      <c r="H160" s="27" t="s">
        <v>25</v>
      </c>
      <c r="I160" s="12">
        <v>10</v>
      </c>
      <c r="J160" s="22">
        <f>IF(E160="H",ROUND(I160*300,0),ROUND(I160*26,0))</f>
        <v>3000</v>
      </c>
      <c r="K160" s="24"/>
      <c r="L160" s="24">
        <f>SUM(J160:K160)</f>
        <v>3000</v>
      </c>
      <c r="S160" s="24">
        <f>SUM(L160:Q160)</f>
        <v>3000</v>
      </c>
      <c r="T160" s="22">
        <f>ROUND(S160*0.062,0)</f>
        <v>186</v>
      </c>
      <c r="U160" s="22">
        <f>ROUND(S160*0.0145,0)</f>
        <v>44</v>
      </c>
      <c r="V160" s="22">
        <v>0</v>
      </c>
      <c r="W160" s="22">
        <v>0</v>
      </c>
      <c r="X160" s="22">
        <v>0</v>
      </c>
      <c r="Y160" s="22">
        <f>(S160*0.0044)</f>
        <v>13.200000000000001</v>
      </c>
      <c r="Z160" s="22">
        <f>(9000*0.03)</f>
        <v>270</v>
      </c>
    </row>
    <row r="161" spans="1:30" ht="13.5" thickBot="1">
      <c r="F161" s="7" t="s">
        <v>975</v>
      </c>
      <c r="H161" s="26"/>
      <c r="I161" s="59"/>
      <c r="J161" s="8">
        <f t="shared" ref="J161:Z161" si="68">SUM(J160:J160)</f>
        <v>3000</v>
      </c>
      <c r="K161" s="8">
        <f t="shared" si="68"/>
        <v>0</v>
      </c>
      <c r="L161" s="8">
        <f t="shared" si="68"/>
        <v>3000</v>
      </c>
      <c r="M161" s="8">
        <f t="shared" si="68"/>
        <v>0</v>
      </c>
      <c r="N161" s="8">
        <f t="shared" si="68"/>
        <v>0</v>
      </c>
      <c r="O161" s="8">
        <f t="shared" si="68"/>
        <v>0</v>
      </c>
      <c r="P161" s="8">
        <f t="shared" si="68"/>
        <v>0</v>
      </c>
      <c r="Q161" s="8">
        <f t="shared" si="68"/>
        <v>0</v>
      </c>
      <c r="R161" s="8"/>
      <c r="S161" s="8">
        <f t="shared" si="68"/>
        <v>3000</v>
      </c>
      <c r="T161" s="8">
        <f t="shared" si="68"/>
        <v>186</v>
      </c>
      <c r="U161" s="8">
        <f t="shared" si="68"/>
        <v>44</v>
      </c>
      <c r="V161" s="8">
        <f t="shared" si="68"/>
        <v>0</v>
      </c>
      <c r="W161" s="8">
        <f t="shared" si="68"/>
        <v>0</v>
      </c>
      <c r="X161" s="8">
        <f t="shared" si="68"/>
        <v>0</v>
      </c>
      <c r="Y161" s="8">
        <f t="shared" si="68"/>
        <v>13.200000000000001</v>
      </c>
      <c r="Z161" s="8">
        <f t="shared" si="68"/>
        <v>270</v>
      </c>
      <c r="AB161" s="65">
        <f>SUM(S161:AA161)</f>
        <v>3513.2</v>
      </c>
    </row>
    <row r="162" spans="1:30">
      <c r="A162">
        <v>27</v>
      </c>
    </row>
    <row r="163" spans="1:30">
      <c r="A163">
        <v>21</v>
      </c>
      <c r="U163" s="24"/>
    </row>
    <row r="164" spans="1:30">
      <c r="A164">
        <v>6</v>
      </c>
      <c r="AB164" s="63" t="s">
        <v>923</v>
      </c>
    </row>
    <row r="165" spans="1:30" ht="13.5" thickBot="1">
      <c r="J165" s="37">
        <f>J161</f>
        <v>3000</v>
      </c>
      <c r="K165" s="37">
        <f t="shared" ref="K165:Z165" si="69">K161</f>
        <v>0</v>
      </c>
      <c r="L165" s="37">
        <f t="shared" si="69"/>
        <v>3000</v>
      </c>
      <c r="M165" s="37">
        <f t="shared" si="69"/>
        <v>0</v>
      </c>
      <c r="N165" s="37">
        <f t="shared" si="69"/>
        <v>0</v>
      </c>
      <c r="O165" s="37">
        <f t="shared" si="69"/>
        <v>0</v>
      </c>
      <c r="P165" s="37">
        <f t="shared" si="69"/>
        <v>0</v>
      </c>
      <c r="Q165" s="37">
        <f t="shared" si="69"/>
        <v>0</v>
      </c>
      <c r="R165" s="37"/>
      <c r="S165" s="37">
        <f t="shared" si="69"/>
        <v>3000</v>
      </c>
      <c r="T165" s="37">
        <f t="shared" si="69"/>
        <v>186</v>
      </c>
      <c r="U165" s="37">
        <f t="shared" si="69"/>
        <v>44</v>
      </c>
      <c r="V165" s="37">
        <f t="shared" si="69"/>
        <v>0</v>
      </c>
      <c r="W165" s="37">
        <f t="shared" si="69"/>
        <v>0</v>
      </c>
      <c r="X165" s="37">
        <f t="shared" si="69"/>
        <v>0</v>
      </c>
      <c r="Y165" s="37">
        <f t="shared" si="69"/>
        <v>13.200000000000001</v>
      </c>
      <c r="Z165" s="37">
        <f t="shared" si="69"/>
        <v>270</v>
      </c>
      <c r="AB165" s="63">
        <f>SUM(S165:AA165)</f>
        <v>3513.2</v>
      </c>
      <c r="AD165" s="20"/>
    </row>
    <row r="166" spans="1:30" ht="13.5" thickTop="1">
      <c r="W166" s="24"/>
      <c r="AB166" s="66" t="e">
        <f>#REF!</f>
        <v>#REF!</v>
      </c>
      <c r="AD166" s="20"/>
    </row>
    <row r="168" spans="1:30">
      <c r="W168" s="24"/>
      <c r="AB168" s="63" t="e">
        <f>AB150-AB151</f>
        <v>#REF!</v>
      </c>
      <c r="AD168" s="63"/>
    </row>
    <row r="172" spans="1:30" ht="15">
      <c r="A172">
        <v>10</v>
      </c>
      <c r="O172" s="67"/>
      <c r="P172" s="68"/>
      <c r="Q172" s="67"/>
      <c r="R172" s="67"/>
      <c r="S172" s="68"/>
      <c r="T172" s="68"/>
      <c r="U172" s="68"/>
    </row>
    <row r="173" spans="1:30" ht="15">
      <c r="A173">
        <v>15</v>
      </c>
      <c r="O173" s="67"/>
      <c r="P173" s="68"/>
      <c r="Q173" s="67"/>
      <c r="R173" s="67"/>
      <c r="S173" s="68"/>
      <c r="T173" s="68"/>
      <c r="U173" s="68"/>
    </row>
    <row r="174" spans="1:30" ht="15">
      <c r="A174">
        <v>13</v>
      </c>
      <c r="O174" s="67"/>
      <c r="P174" s="68"/>
      <c r="Q174" s="67"/>
      <c r="R174" s="67"/>
      <c r="S174" s="431" t="s">
        <v>1146</v>
      </c>
      <c r="T174" s="432"/>
      <c r="U174" s="432"/>
    </row>
    <row r="175" spans="1:30" ht="15">
      <c r="A175">
        <v>49</v>
      </c>
      <c r="O175" s="67"/>
      <c r="P175" s="68" t="s">
        <v>736</v>
      </c>
      <c r="Q175" s="67"/>
      <c r="R175" s="67"/>
      <c r="S175" s="69">
        <f>AB87</f>
        <v>1737377.3950098655</v>
      </c>
      <c r="T175" s="69" t="e">
        <f>#REF!</f>
        <v>#REF!</v>
      </c>
      <c r="U175" s="69" t="e">
        <f>T175-S175</f>
        <v>#REF!</v>
      </c>
    </row>
    <row r="176" spans="1:30" ht="15">
      <c r="A176">
        <v>46</v>
      </c>
      <c r="O176" s="67"/>
      <c r="P176" s="68" t="s">
        <v>869</v>
      </c>
      <c r="Q176" s="67"/>
      <c r="R176" s="67"/>
      <c r="S176" s="69">
        <f>AB130</f>
        <v>908989.22793139995</v>
      </c>
      <c r="T176" s="69" t="e">
        <f>#REF!</f>
        <v>#REF!</v>
      </c>
      <c r="U176" s="69" t="e">
        <f>T176-S176</f>
        <v>#REF!</v>
      </c>
    </row>
    <row r="177" spans="1:21" ht="15">
      <c r="A177">
        <v>55</v>
      </c>
      <c r="O177" s="67"/>
      <c r="P177" s="68" t="s">
        <v>924</v>
      </c>
      <c r="Q177" s="67"/>
      <c r="R177" s="67"/>
      <c r="S177" s="70">
        <f>AB146</f>
        <v>31784.671967999999</v>
      </c>
      <c r="T177" s="70" t="e">
        <f>#REF!</f>
        <v>#REF!</v>
      </c>
      <c r="U177" s="70" t="e">
        <f>T177-S177</f>
        <v>#REF!</v>
      </c>
    </row>
    <row r="178" spans="1:21" ht="15">
      <c r="A178">
        <v>66</v>
      </c>
      <c r="O178" s="67"/>
      <c r="P178" s="68" t="s">
        <v>925</v>
      </c>
      <c r="Q178" s="67"/>
      <c r="R178" s="67"/>
      <c r="S178" s="69">
        <f>SUM(S175:S177)</f>
        <v>2678151.2949092654</v>
      </c>
      <c r="T178" s="69" t="e">
        <f>SUM(T175:T177)</f>
        <v>#REF!</v>
      </c>
      <c r="U178" s="69" t="e">
        <f>SUM(U175:U177)</f>
        <v>#REF!</v>
      </c>
    </row>
    <row r="179" spans="1:21" ht="15">
      <c r="O179" s="67"/>
      <c r="P179" s="68"/>
      <c r="Q179" s="67"/>
      <c r="R179" s="67"/>
      <c r="S179" s="68"/>
      <c r="T179" s="68"/>
      <c r="U179" s="68"/>
    </row>
    <row r="180" spans="1:21" ht="15">
      <c r="O180" s="67"/>
      <c r="P180" s="68"/>
      <c r="Q180" s="67"/>
      <c r="R180" s="67"/>
      <c r="S180" s="432" t="s">
        <v>393</v>
      </c>
      <c r="T180" s="432"/>
      <c r="U180" s="432"/>
    </row>
    <row r="181" spans="1:21" ht="15">
      <c r="O181" s="67"/>
      <c r="P181" s="68" t="s">
        <v>736</v>
      </c>
      <c r="Q181" s="67"/>
      <c r="R181" s="67"/>
      <c r="S181" s="69">
        <f>AB87</f>
        <v>1737377.3950098655</v>
      </c>
      <c r="T181" s="69">
        <v>1655698.4145107199</v>
      </c>
      <c r="U181" s="69">
        <f>T181-S181</f>
        <v>-81678.980499145575</v>
      </c>
    </row>
    <row r="182" spans="1:21" ht="15">
      <c r="O182" s="67"/>
      <c r="P182" s="68" t="s">
        <v>869</v>
      </c>
      <c r="Q182" s="67"/>
      <c r="R182" s="67"/>
      <c r="S182" s="69">
        <f>AB130</f>
        <v>908989.22793139995</v>
      </c>
      <c r="T182" s="69">
        <v>850167.63807999995</v>
      </c>
      <c r="U182" s="69">
        <f>T182-S182</f>
        <v>-58821.5898514</v>
      </c>
    </row>
    <row r="183" spans="1:21" ht="15">
      <c r="O183" s="67"/>
      <c r="P183" s="68" t="s">
        <v>924</v>
      </c>
      <c r="Q183" s="67"/>
      <c r="R183" s="67"/>
      <c r="S183" s="70">
        <f>AB146</f>
        <v>31784.671967999999</v>
      </c>
      <c r="T183" s="70">
        <v>31173.123999999996</v>
      </c>
      <c r="U183" s="70">
        <f>T183-S183</f>
        <v>-611.54796800000258</v>
      </c>
    </row>
    <row r="184" spans="1:21" ht="15">
      <c r="O184" s="67"/>
      <c r="P184" s="68" t="s">
        <v>925</v>
      </c>
      <c r="Q184" s="67"/>
      <c r="R184" s="67"/>
      <c r="S184" s="69">
        <f>SUM(S181:S183)</f>
        <v>2678151.2949092654</v>
      </c>
      <c r="T184" s="69">
        <f>SUM(T181:T183)</f>
        <v>2537039.1765907197</v>
      </c>
      <c r="U184" s="69">
        <f>SUM(U181:U183)</f>
        <v>-141112.11831854557</v>
      </c>
    </row>
    <row r="185" spans="1:21" ht="15">
      <c r="O185" s="67"/>
      <c r="P185" s="68"/>
      <c r="Q185" s="67"/>
      <c r="R185" s="67"/>
      <c r="S185" s="68"/>
      <c r="T185" s="68"/>
      <c r="U185" s="68"/>
    </row>
    <row r="186" spans="1:21" ht="15">
      <c r="O186" s="67"/>
      <c r="P186" s="68"/>
      <c r="Q186" s="67"/>
      <c r="R186" s="67"/>
      <c r="S186" s="68"/>
      <c r="T186" s="68"/>
      <c r="U186" s="68"/>
    </row>
    <row r="198" spans="2:26">
      <c r="S198" s="24">
        <f t="shared" ref="S198:Z198" si="70">S13+S46+S70+S73</f>
        <v>19674.8</v>
      </c>
      <c r="T198" s="24">
        <f t="shared" si="70"/>
        <v>1220</v>
      </c>
      <c r="U198" s="24">
        <f t="shared" si="70"/>
        <v>285</v>
      </c>
      <c r="V198" s="24">
        <f t="shared" si="70"/>
        <v>333</v>
      </c>
      <c r="W198" s="24">
        <f t="shared" si="70"/>
        <v>7232.2584000000006</v>
      </c>
      <c r="X198" s="24">
        <f t="shared" si="70"/>
        <v>230.39999999999998</v>
      </c>
      <c r="Y198" s="24">
        <f t="shared" si="70"/>
        <v>480.30066479999994</v>
      </c>
      <c r="Z198" s="24">
        <f t="shared" si="70"/>
        <v>1080</v>
      </c>
    </row>
    <row r="199" spans="2:26">
      <c r="B199" t="s">
        <v>27</v>
      </c>
      <c r="C199" t="s">
        <v>15</v>
      </c>
      <c r="D199" s="6">
        <v>17</v>
      </c>
      <c r="E199" t="s">
        <v>34</v>
      </c>
      <c r="F199" t="s">
        <v>476</v>
      </c>
      <c r="G199" t="s">
        <v>241</v>
      </c>
      <c r="H199" s="27" t="s">
        <v>242</v>
      </c>
      <c r="I199" s="59">
        <v>7.55</v>
      </c>
      <c r="J199" s="22">
        <f>IF(E199="H",ROUND(I199*2080,0),ROUND(I199*26,0))</f>
        <v>15704</v>
      </c>
      <c r="K199" s="24">
        <f>J199*$K$6</f>
        <v>471.12</v>
      </c>
      <c r="L199" s="24">
        <f>SUM(J199:K199)</f>
        <v>16175.12</v>
      </c>
      <c r="Q199" s="24">
        <v>1000</v>
      </c>
      <c r="S199" s="24">
        <f>SUM(L199:Q199)</f>
        <v>17175.120000000003</v>
      </c>
      <c r="T199" s="22">
        <f>ROUND(S199*0.062,0)</f>
        <v>1065</v>
      </c>
      <c r="U199" s="22">
        <f>ROUND(S199*0.0145,0)</f>
        <v>249</v>
      </c>
      <c r="V199" s="22">
        <f>ROUND(S199*$V$5,0)</f>
        <v>290</v>
      </c>
      <c r="W199" s="22">
        <f>((452*12))*$W$5</f>
        <v>5803.68</v>
      </c>
      <c r="X199" s="22">
        <f>(20.2*12)</f>
        <v>242.39999999999998</v>
      </c>
      <c r="Y199" s="22">
        <f>(S199*0.0492)</f>
        <v>845.01590400000009</v>
      </c>
      <c r="Z199" s="22">
        <f>(9000*0.03)</f>
        <v>270</v>
      </c>
    </row>
    <row r="208" spans="2:26">
      <c r="J208" s="24"/>
      <c r="L208" s="24">
        <f>L7+L101</f>
        <v>94942.31</v>
      </c>
    </row>
  </sheetData>
  <mergeCells count="14">
    <mergeCell ref="D91:Z91"/>
    <mergeCell ref="D1:Z1"/>
    <mergeCell ref="D2:Z2"/>
    <mergeCell ref="D3:Z3"/>
    <mergeCell ref="D89:Z89"/>
    <mergeCell ref="D90:Z90"/>
    <mergeCell ref="S174:U174"/>
    <mergeCell ref="S180:U180"/>
    <mergeCell ref="D139:Z139"/>
    <mergeCell ref="D140:Z140"/>
    <mergeCell ref="D141:Z141"/>
    <mergeCell ref="D154:Z154"/>
    <mergeCell ref="D155:Z155"/>
    <mergeCell ref="D156:Z156"/>
  </mergeCells>
  <pageMargins left="0.2" right="0.25" top="0.25" bottom="0.25" header="0.22" footer="0.2"/>
  <pageSetup paperSize="5" scale="48" firstPageNumber="35" orientation="landscape" useFirstPageNumber="1" r:id="rId1"/>
  <headerFooter alignWithMargins="0">
    <oddHeader xml:space="preserve">&amp;L&amp;F &amp;A 
</oddHeader>
    <oddFooter xml:space="preserve">&amp;L* H - HOURLY EMPLOYEE S- SALARY EMPLOYEE&amp;C** FTE - FULLTIME EQUIVALANT EMPLOYEE
&amp;P&amp;R *** RATE IS PER HOUR OR BI-WEEKLY SALARY </oddFooter>
  </headerFooter>
  <rowBreaks count="3" manualBreakCount="3">
    <brk id="87" min="3" max="25" man="1"/>
    <brk id="136" min="3" max="25" man="1"/>
    <brk id="153" min="3" max="26" man="1"/>
  </rowBreaks>
  <colBreaks count="1" manualBreakCount="1">
    <brk id="27" max="15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Cty Off</vt:lpstr>
      <vt:lpstr>GFBUDGET </vt:lpstr>
      <vt:lpstr>W&amp;S BUDGET</vt:lpstr>
      <vt:lpstr>CDC</vt:lpstr>
      <vt:lpstr>DEBT SERVICE</vt:lpstr>
      <vt:lpstr>SENIOR CITIZENS</vt:lpstr>
      <vt:lpstr>TIRZ</vt:lpstr>
      <vt:lpstr>CIty Website</vt:lpstr>
      <vt:lpstr>SALARIES 2017</vt:lpstr>
      <vt:lpstr>CDC!Print_Area</vt:lpstr>
      <vt:lpstr>'Cty Off'!Print_Area</vt:lpstr>
      <vt:lpstr>'DEBT SERVICE'!Print_Area</vt:lpstr>
      <vt:lpstr>'GFBUDGET '!Print_Area</vt:lpstr>
      <vt:lpstr>'SALARIES 2017'!Print_Area</vt:lpstr>
      <vt:lpstr>'SENIOR CITIZENS'!Print_Area</vt:lpstr>
      <vt:lpstr>TIRZ!Print_Area</vt:lpstr>
      <vt:lpstr>'W&amp;S BUDGET'!Print_Area</vt:lpstr>
      <vt:lpstr>CDC!Print_Titles</vt:lpstr>
      <vt:lpstr>'GFBUDGET '!Print_Titles</vt:lpstr>
      <vt:lpstr>'SALARIES 2017'!Print_Titles</vt:lpstr>
      <vt:lpstr>'SENIOR CITIZENS'!Print_Titles</vt:lpstr>
      <vt:lpstr>'W&amp;S BUDGET'!Print_Titles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Pablo Garza</cp:lastModifiedBy>
  <cp:lastPrinted>2023-10-16T14:08:08Z</cp:lastPrinted>
  <dcterms:created xsi:type="dcterms:W3CDTF">2001-06-11T17:04:51Z</dcterms:created>
  <dcterms:modified xsi:type="dcterms:W3CDTF">2023-10-16T18:06:38Z</dcterms:modified>
</cp:coreProperties>
</file>